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onas\Documents\Claude\Projects\Finance\Erbe\"/>
    </mc:Choice>
  </mc:AlternateContent>
  <xr:revisionPtr revIDLastSave="0" documentId="13_ncr:1_{EB070C29-3B2D-4A97-9128-50A929FA5EA9}" xr6:coauthVersionLast="47" xr6:coauthVersionMax="47" xr10:uidLastSave="{00000000-0000-0000-0000-000000000000}"/>
  <bookViews>
    <workbookView xWindow="-120" yWindow="-120" windowWidth="29040" windowHeight="17520" tabRatio="500" activeTab="3" xr2:uid="{00000000-000D-0000-FFFF-FFFF00000000}"/>
  </bookViews>
  <sheets>
    <sheet name="Übersicht" sheetId="1" r:id="rId1"/>
    <sheet name="Wertermittlung" sheetId="2" r:id="rId2"/>
    <sheet name="Marktwert" sheetId="3" r:id="rId3"/>
    <sheet name="Schenkungssteuer" sheetId="4" r:id="rId4"/>
    <sheet name="Szenarien" sheetId="5" r:id="rId5"/>
    <sheet name="Mieteinnahmen" sheetId="6" r:id="rId6"/>
    <sheet name="Fairness-Analyse"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5" i="3" l="1"/>
  <c r="D46" i="3"/>
  <c r="B53" i="5"/>
  <c r="C48" i="5"/>
  <c r="B47" i="5"/>
  <c r="C53" i="5" s="1"/>
  <c r="B46" i="5"/>
  <c r="D48" i="5" s="1"/>
  <c r="B37" i="5"/>
  <c r="B31" i="5"/>
  <c r="B30" i="5"/>
  <c r="B29" i="5"/>
  <c r="B28" i="5"/>
  <c r="B27" i="5"/>
  <c r="D17" i="5"/>
  <c r="C17" i="5"/>
  <c r="B17" i="5"/>
  <c r="D23" i="4"/>
  <c r="B23" i="4"/>
  <c r="D14" i="4"/>
  <c r="C14" i="4"/>
  <c r="B14" i="4"/>
  <c r="E14" i="4" s="1"/>
  <c r="B84" i="3"/>
  <c r="B75" i="3"/>
  <c r="B70" i="3"/>
  <c r="B72" i="3" s="1"/>
  <c r="E61" i="3"/>
  <c r="E63" i="3" s="1"/>
  <c r="D61" i="3"/>
  <c r="E60" i="3"/>
  <c r="D60" i="3"/>
  <c r="E59" i="3"/>
  <c r="D59" i="3"/>
  <c r="C48" i="3"/>
  <c r="C46" i="3"/>
  <c r="D41" i="3"/>
  <c r="D40" i="3"/>
  <c r="B40" i="3"/>
  <c r="B41" i="3" s="1"/>
  <c r="D39" i="3"/>
  <c r="C47" i="3" s="1"/>
  <c r="B39" i="3"/>
  <c r="B47" i="3" s="1"/>
  <c r="D38" i="3"/>
  <c r="B38" i="3"/>
  <c r="B46" i="3" s="1"/>
  <c r="C20" i="2"/>
  <c r="E16" i="2"/>
  <c r="E17" i="2" s="1"/>
  <c r="E21" i="2" s="1"/>
  <c r="E26" i="2" s="1"/>
  <c r="C11" i="1" s="1"/>
  <c r="C12" i="1" s="1"/>
  <c r="E15" i="2"/>
  <c r="E13" i="2"/>
  <c r="C13" i="2"/>
  <c r="C15" i="2" s="1"/>
  <c r="C16" i="2" s="1"/>
  <c r="C17" i="2" s="1"/>
  <c r="C21" i="2" s="1"/>
  <c r="E12" i="2"/>
  <c r="E6" i="2"/>
  <c r="B77" i="3" s="1"/>
  <c r="C6" i="2"/>
  <c r="D14" i="1"/>
  <c r="D13" i="1"/>
  <c r="C13" i="1"/>
  <c r="B13" i="1"/>
  <c r="D10" i="1"/>
  <c r="C10" i="1"/>
  <c r="B10" i="1"/>
  <c r="D8" i="1"/>
  <c r="D7" i="1"/>
  <c r="A69" i="6"/>
  <c r="A68" i="6"/>
  <c r="A67" i="6"/>
  <c r="A66" i="6"/>
  <c r="A65" i="6"/>
  <c r="A64" i="6"/>
  <c r="A63" i="6"/>
  <c r="A62" i="6"/>
  <c r="A61" i="6"/>
  <c r="A60" i="6"/>
  <c r="C41" i="6"/>
  <c r="B39" i="6"/>
  <c r="C39" i="6" s="1"/>
  <c r="F33" i="6"/>
  <c r="B33" i="6"/>
  <c r="G32" i="6"/>
  <c r="E32" i="6"/>
  <c r="G31" i="6"/>
  <c r="D31" i="6"/>
  <c r="E31" i="6" s="1"/>
  <c r="D30" i="6"/>
  <c r="G30" i="6" s="1"/>
  <c r="D29" i="6"/>
  <c r="G29" i="6" s="1"/>
  <c r="C24" i="6"/>
  <c r="D23" i="6"/>
  <c r="B23" i="6"/>
  <c r="C23" i="6" s="1"/>
  <c r="B22" i="6"/>
  <c r="D22" i="6" s="1"/>
  <c r="B21" i="6"/>
  <c r="D21" i="6" s="1"/>
  <c r="C20" i="6"/>
  <c r="B20" i="6"/>
  <c r="B25" i="6" s="1"/>
  <c r="G15" i="6"/>
  <c r="E15" i="6"/>
  <c r="B46" i="6" s="1"/>
  <c r="D15" i="6"/>
  <c r="B49" i="6" l="1"/>
  <c r="B51" i="6"/>
  <c r="B67" i="3"/>
  <c r="B69" i="3" s="1"/>
  <c r="B73" i="3" s="1"/>
  <c r="B76" i="3" s="1"/>
  <c r="B63" i="3"/>
  <c r="C26" i="2"/>
  <c r="B11" i="1" s="1"/>
  <c r="D11" i="1" s="1"/>
  <c r="C22" i="2"/>
  <c r="C24" i="2" s="1"/>
  <c r="B12" i="1"/>
  <c r="D12" i="1" s="1"/>
  <c r="B20" i="1" s="1"/>
  <c r="D47" i="3"/>
  <c r="E20" i="2"/>
  <c r="E22" i="2" s="1"/>
  <c r="E24" i="2" s="1"/>
  <c r="D33" i="6"/>
  <c r="C21" i="6"/>
  <c r="C25" i="6" s="1"/>
  <c r="C46" i="5"/>
  <c r="E29" i="6"/>
  <c r="D46" i="5"/>
  <c r="C22" i="6"/>
  <c r="E30" i="6"/>
  <c r="B48" i="3"/>
  <c r="D48" i="3" s="1"/>
  <c r="C47" i="5"/>
  <c r="D47" i="5"/>
  <c r="B48" i="5"/>
  <c r="B47" i="6" l="1"/>
  <c r="B60" i="6"/>
  <c r="B38" i="6"/>
  <c r="G33" i="6"/>
  <c r="B37" i="6"/>
  <c r="E33" i="6"/>
  <c r="C46" i="6" s="1"/>
  <c r="B40" i="6"/>
  <c r="D60" i="5"/>
  <c r="C60" i="5"/>
  <c r="B60" i="5"/>
  <c r="D54" i="5"/>
  <c r="C54" i="5"/>
  <c r="B54" i="5"/>
  <c r="D53" i="5"/>
  <c r="E78" i="3"/>
  <c r="B78" i="3"/>
  <c r="B83" i="3" s="1"/>
  <c r="C30" i="2"/>
  <c r="B45" i="3"/>
  <c r="B49" i="3" s="1"/>
  <c r="B25" i="5"/>
  <c r="E30" i="2"/>
  <c r="B82" i="3"/>
  <c r="B85" i="3" s="1"/>
  <c r="C45" i="3"/>
  <c r="C49" i="3" s="1"/>
  <c r="C55" i="5" l="1"/>
  <c r="C56" i="5"/>
  <c r="D40" i="6"/>
  <c r="C40" i="6"/>
  <c r="C38" i="6"/>
  <c r="D38" i="6"/>
  <c r="D49" i="3"/>
  <c r="B5" i="4"/>
  <c r="B14" i="1"/>
  <c r="D7" i="5"/>
  <c r="D9" i="5" s="1"/>
  <c r="D10" i="5" s="1"/>
  <c r="B7" i="5"/>
  <c r="B9" i="5" s="1"/>
  <c r="B10" i="5" s="1"/>
  <c r="B24" i="5"/>
  <c r="B16" i="5"/>
  <c r="D55" i="5"/>
  <c r="B61" i="6"/>
  <c r="E61" i="6"/>
  <c r="E60" i="6"/>
  <c r="C14" i="1"/>
  <c r="C7" i="5"/>
  <c r="C9" i="5" s="1"/>
  <c r="C10" i="5" s="1"/>
  <c r="C51" i="6"/>
  <c r="C49" i="6"/>
  <c r="C37" i="6"/>
  <c r="C42" i="6" s="1"/>
  <c r="B42" i="6"/>
  <c r="D39" i="6"/>
  <c r="B56" i="5"/>
  <c r="B55" i="5"/>
  <c r="B53" i="6"/>
  <c r="B52" i="6"/>
  <c r="B50" i="6"/>
  <c r="B11" i="5" l="1"/>
  <c r="B35" i="5" s="1"/>
  <c r="D24" i="4"/>
  <c r="B13" i="4"/>
  <c r="D22" i="4"/>
  <c r="B22" i="4"/>
  <c r="B24" i="4"/>
  <c r="D25" i="4"/>
  <c r="C60" i="6"/>
  <c r="C47" i="6"/>
  <c r="B62" i="6"/>
  <c r="B18" i="5"/>
  <c r="B19" i="5" s="1"/>
  <c r="D16" i="5"/>
  <c r="D18" i="5" s="1"/>
  <c r="D19" i="5" s="1"/>
  <c r="C16" i="5"/>
  <c r="C18" i="5" s="1"/>
  <c r="C19" i="5" s="1"/>
  <c r="B63" i="6" l="1"/>
  <c r="E62" i="6"/>
  <c r="E63" i="6"/>
  <c r="C53" i="6"/>
  <c r="C52" i="6"/>
  <c r="C50" i="6"/>
  <c r="C61" i="6"/>
  <c r="F61" i="6"/>
  <c r="F60" i="6"/>
  <c r="D60" i="6"/>
  <c r="C13" i="4"/>
  <c r="C15" i="4" s="1"/>
  <c r="B15" i="4"/>
  <c r="D13" i="4"/>
  <c r="D15" i="4" s="1"/>
  <c r="B20" i="5"/>
  <c r="B36" i="5" s="1"/>
  <c r="H60" i="6" l="1"/>
  <c r="G60" i="6"/>
  <c r="D16" i="4"/>
  <c r="D17" i="4" s="1"/>
  <c r="B16" i="4"/>
  <c r="E15" i="4"/>
  <c r="B17" i="4"/>
  <c r="B64" i="6"/>
  <c r="C62" i="6"/>
  <c r="D61" i="6"/>
  <c r="H61" i="6" s="1"/>
  <c r="E13" i="4"/>
  <c r="C16" i="4"/>
  <c r="C17" i="4"/>
  <c r="B25" i="4" l="1"/>
  <c r="B26" i="4" s="1"/>
  <c r="A41" i="4" s="1"/>
  <c r="B24" i="1" s="1"/>
  <c r="E17" i="4"/>
  <c r="A40" i="4"/>
  <c r="B23" i="1" s="1"/>
  <c r="C63" i="6"/>
  <c r="D62" i="6"/>
  <c r="H62" i="6" s="1"/>
  <c r="F62" i="6"/>
  <c r="F63" i="6"/>
  <c r="B65" i="6"/>
  <c r="E64" i="6"/>
  <c r="E65" i="6"/>
  <c r="G62" i="6"/>
  <c r="G61" i="6"/>
  <c r="B66" i="6" l="1"/>
  <c r="C64" i="6"/>
  <c r="D63" i="6"/>
  <c r="F64" i="6"/>
  <c r="H63" i="6" l="1"/>
  <c r="C65" i="6"/>
  <c r="D64" i="6"/>
  <c r="G64" i="6" s="1"/>
  <c r="B67" i="6"/>
  <c r="E66" i="6"/>
  <c r="G63" i="6"/>
  <c r="B68" i="6" l="1"/>
  <c r="C66" i="6"/>
  <c r="F66" i="6" s="1"/>
  <c r="D65" i="6"/>
  <c r="H65" i="6" s="1"/>
  <c r="F65" i="6"/>
  <c r="E68" i="6"/>
  <c r="G65" i="6"/>
  <c r="E67" i="6"/>
  <c r="H64" i="6"/>
  <c r="B69" i="6" l="1"/>
  <c r="C67" i="6"/>
  <c r="D66" i="6"/>
  <c r="F67" i="6"/>
  <c r="G66" i="6"/>
  <c r="H66" i="6" l="1"/>
  <c r="C68" i="6"/>
  <c r="D67" i="6"/>
  <c r="H67" i="6" s="1"/>
  <c r="E69" i="6"/>
  <c r="C69" i="6" l="1"/>
  <c r="D69" i="6" s="1"/>
  <c r="F68" i="6"/>
  <c r="D68" i="6"/>
  <c r="F69" i="6"/>
  <c r="G67" i="6"/>
  <c r="H68" i="6" l="1"/>
  <c r="G68" i="6"/>
  <c r="H69" i="6"/>
  <c r="G69" i="6"/>
</calcChain>
</file>

<file path=xl/sharedStrings.xml><?xml version="1.0" encoding="utf-8"?>
<sst xmlns="http://schemas.openxmlformats.org/spreadsheetml/2006/main" count="637" uniqueCount="482">
  <si>
    <t>IMMOBILIENANALYSE – ERBSCHAFT / SCHENKUNG</t>
  </si>
  <si>
    <t>Eigentümerin: Mutter (74 Jahre) | Objekte: Tannhäuserstraße 9/1 &amp; 11/1, 72768 Reutlingen-Sickenhausen | Ziel: Schenkung zu Lebzeiten | 3 Kinder (Steuerklasse I)</t>
  </si>
  <si>
    <t>Kennzahl</t>
  </si>
  <si>
    <t>Tannhäuserstr. 9/1</t>
  </si>
  <si>
    <t>Tannhäuserstr. 11/1</t>
  </si>
  <si>
    <t>Gesamt</t>
  </si>
  <si>
    <t>Adresse</t>
  </si>
  <si>
    <t>–</t>
  </si>
  <si>
    <t>Gemeinde</t>
  </si>
  <si>
    <t>72768 Reutlingen (Sickenhausen)</t>
  </si>
  <si>
    <t>Baujahr</t>
  </si>
  <si>
    <t>1982</t>
  </si>
  <si>
    <t>2021</t>
  </si>
  <si>
    <t>Grundstücksfläche (m²)</t>
  </si>
  <si>
    <t>Wohnfläche (m²)</t>
  </si>
  <si>
    <t>Bodenrichtwert (€/m²)</t>
  </si>
  <si>
    <t>BORIS-D, Stand 01.01.2025</t>
  </si>
  <si>
    <t>Bodenwert (€)</t>
  </si>
  <si>
    <t>Gebäudewert geschätzt (€)</t>
  </si>
  <si>
    <t>Verkehrswert gesamt (€)</t>
  </si>
  <si>
    <t>Marktwert (Vergleichspreise, Mittelwert)</t>
  </si>
  <si>
    <t>Steuerl. Grundbesitzwert (€)</t>
  </si>
  <si>
    <t>⚠ Hinweis: Alle Werte sind Schätzungen nach vereinfachtem Sachwertverfahren (BewG). Für rechtssichere Werte ist ein Gutachter/Steuerberater zu beauftragen.</t>
  </si>
  <si>
    <t>SCHENKUNGSSTEUER-KURZÜBERSICHT</t>
  </si>
  <si>
    <t>Wert</t>
  </si>
  <si>
    <t>Hinweis</t>
  </si>
  <si>
    <t>Gesamtwert Immobilien</t>
  </si>
  <si>
    <t>Geschätzter Verkehrswert</t>
  </si>
  <si>
    <t>Freibetrag je Kind (§ 16 ErbStG)</t>
  </si>
  <si>
    <t>Gilt alle 10 Jahre – Steuerklasse I</t>
  </si>
  <si>
    <t>Freibetrag für 3 Kinder gesamt</t>
  </si>
  <si>
    <t>3 × 400.000 €</t>
  </si>
  <si>
    <t>Voraussichtliche Schenkungssteuer</t>
  </si>
  <si>
    <t>Bei gleichmäßiger Aufteilung auf 3 Kinder</t>
  </si>
  <si>
    <t>Steuerersparnis vs. Erbschaft</t>
  </si>
  <si>
    <t>Durch Schenkung zu Lebzeiten</t>
  </si>
  <si>
    <t>WERTERMITTLUNG – SACHWERTVERFAHREN (vereinfacht nach BewG)</t>
  </si>
  <si>
    <t>Parameter</t>
  </si>
  <si>
    <t>Einheit</t>
  </si>
  <si>
    <t>Tannh. 9/1
(Baujahr 1982)</t>
  </si>
  <si>
    <t>Tannh. 11/1
(Baujahr 2021)</t>
  </si>
  <si>
    <t>A) BODENWERT</t>
  </si>
  <si>
    <t>Grundstücksfläche</t>
  </si>
  <si>
    <t>m²</t>
  </si>
  <si>
    <t>Bodenrichtwert (GMB GGA Reutlingen 2023, Zone 76501010)</t>
  </si>
  <si>
    <t>€/m²</t>
  </si>
  <si>
    <t>BODENWERT</t>
  </si>
  <si>
    <t>€</t>
  </si>
  <si>
    <t>B) GEBÄUDEWERT (Sachwertverfahren)</t>
  </si>
  <si>
    <t>Wohnfläche</t>
  </si>
  <si>
    <t>NHK 2010 indexiert (Baupreisindex 2025)</t>
  </si>
  <si>
    <t>Jahr</t>
  </si>
  <si>
    <t>Bezugsjahr Bewertung</t>
  </si>
  <si>
    <t>Alter des Gebäudes</t>
  </si>
  <si>
    <t>Jahre</t>
  </si>
  <si>
    <t>Gesamtnutzungsdauer EFH</t>
  </si>
  <si>
    <t>Alterswertminderung</t>
  </si>
  <si>
    <t>%</t>
  </si>
  <si>
    <t>Wertminderungskoeffizient (verbleibend)</t>
  </si>
  <si>
    <t>GEBÄUDESACHWERT (vor Marktanpassung)</t>
  </si>
  <si>
    <t>C) GESAMTWERT &amp; MARKTANPASSUNG</t>
  </si>
  <si>
    <t>Bodenwert</t>
  </si>
  <si>
    <t>Gebäudesachwert</t>
  </si>
  <si>
    <t>Vorläufiger Sachwert</t>
  </si>
  <si>
    <t>Marktanpassungsfaktor (regional)</t>
  </si>
  <si>
    <t>Faktor</t>
  </si>
  <si>
    <t>→ Gebäudewert (für Übersicht)</t>
  </si>
  <si>
    <t>Steuerlicher Anpassungsfaktor (BewG, ca. 90%)</t>
  </si>
  <si>
    <t>→ Steuerl. Grundbesitzwert (§ 182 BewG)</t>
  </si>
  <si>
    <t>Quellen &amp; Annahmen: Bodenrichtwert GMB GGA Reutlingen 2023 (470 €/m², Zone 76501010 "Weilweg", Sickenhausen, Stand 01.01.2023) | NHK 2010 indexiert mit BKI Baupreisindex | Gesamtnutzungsdauer EFH gem. ImmoWertV: 80 Jahre | Marktanpassung: regionale Schätzung</t>
  </si>
  <si>
    <t>⚠ Diese Berechnung ersetzt kein offizielles Gutachten. Der Finanzamtswert (Grundbesitzwert nach BewG) wird separat vom Finanzamt festgestellt.</t>
  </si>
  <si>
    <t>MARKTWERTANALYSE – VERGLEICHSWERTVERFAHREN (aktuelle Marktpreise)</t>
  </si>
  <si>
    <t>Quelle: Engel &amp; Völkers Sickenhausen (2025), Immowelt Reutlingen (Okt. 2025), Bodenrichtwert GMB GGA Reutlingen 2023 (470 €/m²) | Alle Preise €/m² Wohnfläche</t>
  </si>
  <si>
    <t>A) OBJEKTBESCHREIBUNG &amp; AUSSTATTUNGSMERKMALE</t>
  </si>
  <si>
    <t>Merkmal</t>
  </si>
  <si>
    <t>Tannhäuserstr. 9/1 (Bj. 1982)</t>
  </si>
  <si>
    <t>Bewertung</t>
  </si>
  <si>
    <t>Tannhäuserstr. 11/1 (Bj. 2021)</t>
  </si>
  <si>
    <t>Nutzungsart</t>
  </si>
  <si>
    <t>Einfamilienhaus, 1 Wohneinheit</t>
  </si>
  <si>
    <t>Mehrfamilienhaus: 2 fertige WE + Atelier</t>
  </si>
  <si>
    <t>++ Renditeobjekt</t>
  </si>
  <si>
    <t>160 m² (1 WE)</t>
  </si>
  <si>
    <t>neutral</t>
  </si>
  <si>
    <t>300 m² (WE1: 110 + WE2: 80 + WE3/Atelier: 110 m²)</t>
  </si>
  <si>
    <t>++</t>
  </si>
  <si>
    <t>Grundstück</t>
  </si>
  <si>
    <t>120 m² – sehr klein</t>
  </si>
  <si>
    <t>– Einschränkung</t>
  </si>
  <si>
    <t>444 m² – großzügig mit Garten</t>
  </si>
  <si>
    <t>Baujahr / Zustand</t>
  </si>
  <si>
    <t>1982 – Altbau, Investitionsbedarf</t>
  </si>
  <si>
    <t>– Risiko</t>
  </si>
  <si>
    <t>2021 – Neubaustandard, kein Invest.</t>
  </si>
  <si>
    <t>++ kein Bedarf</t>
  </si>
  <si>
    <t>Ausbaupotenzial</t>
  </si>
  <si>
    <t>Dach: kein sep. Aufgang, kaum möglich – hohe Investition nötig</t>
  </si>
  <si>
    <t>– – nachteilig</t>
  </si>
  <si>
    <t>WE3 (Atelier 110 m²) mit Gartenzugang als vollwertige Wohnung nutzbar</t>
  </si>
  <si>
    <t>++ Entwicklungspotenzial</t>
  </si>
  <si>
    <t>Parkplätze</t>
  </si>
  <si>
    <t>k.A. / standard</t>
  </si>
  <si>
    <t>Mehrere Stellplätze + Ladesäule (EV)</t>
  </si>
  <si>
    <t>++ Zukunftswert</t>
  </si>
  <si>
    <t>Mietpotenzial</t>
  </si>
  <si>
    <t>Marktwerttreiber</t>
  </si>
  <si>
    <t>Wohnwert für Eigennutzer</t>
  </si>
  <si>
    <t>Anleger + Eigennutzer, Renditepremium</t>
  </si>
  <si>
    <t>★ FAZIT: 11/1 ist strukturell erheblich wertvoller als 9/1 – es handelt sich faktisch um ein Renditeobjekt (Mehrfamilienhaus) mit Entwicklungspotenzial, während 9/1 ein klassisches Einfamilienhaus ohne Ertragspotenzial ist.</t>
  </si>
  <si>
    <t>A) REGIONALE MARKTPREISE – SICKENHAUSEN / REUTLINGEN (2025/2026)</t>
  </si>
  <si>
    <t>Marktsegment</t>
  </si>
  <si>
    <t>€/m² (Wohnfl.) Untergrenze</t>
  </si>
  <si>
    <t>€/m² (Wohnfl.) Mittelwert</t>
  </si>
  <si>
    <t>€/m² (Wohnfl.) Obergrenze</t>
  </si>
  <si>
    <t>Quelle / Bemerkung</t>
  </si>
  <si>
    <t>EFH Sickenhausen (∅ alle Baujahre)</t>
  </si>
  <si>
    <t>EFH Reutlingen gesamt (∅)</t>
  </si>
  <si>
    <t>Immowelt / ImmoScout24, Okt. 2025</t>
  </si>
  <si>
    <t>EFH Altbau (vor 1990, nicht saniert)</t>
  </si>
  <si>
    <t>Schätzung auf Basis Marktabschlag ~20%</t>
  </si>
  <si>
    <t>EFH Altbau (vor 1990, saniert)</t>
  </si>
  <si>
    <t>Schätzung auf Basis Marktabschlag ~7%</t>
  </si>
  <si>
    <t>EFH Neubau (nach 2015)</t>
  </si>
  <si>
    <t>Neubaupremium ca. +15% über Markt-∅</t>
  </si>
  <si>
    <t>B) MARKTWERTBERECHNUNG JE OBJEKT (Vergleichswertverfahren)</t>
  </si>
  <si>
    <t>Tannh. 9/1 (Bj. 1982)</t>
  </si>
  <si>
    <t>Tannh. 11/1 (Bj. 2021)</t>
  </si>
  <si>
    <t>m² WF</t>
  </si>
  <si>
    <t>WE1 (110) + WE2 (80) + WE3 (110) = 300 m²</t>
  </si>
  <si>
    <t>Marktpreis-Ansatz (∅ Vergleichswert)</t>
  </si>
  <si>
    <t>Vergleichspreis UNTERGRENZE (€/m²)</t>
  </si>
  <si>
    <t>€/m² WF</t>
  </si>
  <si>
    <t>9/1: kein Ausbaupot., kleines Grdst. | 11/1: Renditeobjekt +Aufschlag</t>
  </si>
  <si>
    <t>Vergleichspreis MITTELWERT (€/m²)</t>
  </si>
  <si>
    <t>9/1: realistischer Marktpreis EFH Altbau | 11/1: 2 WE + Ausbaupot. + Ladesäule</t>
  </si>
  <si>
    <t>Vergleichspreis OBERGRENZE (€/m²)</t>
  </si>
  <si>
    <t>9/1: vollsaniert/Top-Zustand | 11/1: + 3. WE ausgebaut</t>
  </si>
  <si>
    <t>MARKTWERT UNTERGRENZE</t>
  </si>
  <si>
    <t>MARKTWERT MITTELWERT ← Ansatz für Steuer</t>
  </si>
  <si>
    <t>MARKTWERT OBERGRENZE</t>
  </si>
  <si>
    <t>MARKTWERT nach Umbau WE3 (Szenario)</t>
  </si>
  <si>
    <t>€  → nach Fertigstellung WE3 (Atelier ausgebaut)</t>
  </si>
  <si>
    <t>C) VERGLEICH: SACHWERTVERFAHREN vs. MARKTWERTVERFAHREN</t>
  </si>
  <si>
    <t>Tannh. 9/1</t>
  </si>
  <si>
    <t>Tannh. 11/1</t>
  </si>
  <si>
    <t>Bemerkung</t>
  </si>
  <si>
    <t>Sachwert (Wertermittlung-Sheet)</t>
  </si>
  <si>
    <t>Vereinf. Sachwertverfahren (BewG)</t>
  </si>
  <si>
    <t>Marktwert UNTERGRENZE</t>
  </si>
  <si>
    <t>Konservativer Ansatz (schlechter Zustand)</t>
  </si>
  <si>
    <t>Marktwert MITTELWERT</t>
  </si>
  <si>
    <t>Realistischer Marktpreis (Normalzustand)</t>
  </si>
  <si>
    <t>Marktwert OBERGRENZE</t>
  </si>
  <si>
    <t>Sehr guter Zustand / vollsaniert</t>
  </si>
  <si>
    <t>Differenz Markt- vs. Sachwert (Mittel)</t>
  </si>
  <si>
    <t>→ Marktwert liegt erheblich über Sachwert!</t>
  </si>
  <si>
    <t>⚠ STEUERLICH WICHTIG: Das Finanzamt setzt den Grundbesitzwert nach BewG (≈ Sachwert) an – NICHT den Marktwert. Der Marktwert ist jedoch für die Erbauseinandersetzung und Ausgleichszahlungen zwischen den Geschwistern maßgeblich.</t>
  </si>
  <si>
    <t>Quelle Marktpreise: Engel &amp; Völkers Sickenhausen 2025 (∅ 3.879 €/m²), Immowelt Reutlingen Okt. 2025, Bodenrichtwert GMB GGA Reutlingen 2023 (470 €/m², Zone 76501010) | Blaue Werte = anpassbar</t>
  </si>
  <si>
    <t>ERTRAGSWERTVERFAHREN – TANNHÄUSERSTR. 11/1 (Renditeobjekt mit 2 Wohneinheiten)</t>
  </si>
  <si>
    <t>Das Ertragswertverfahren (§§ 17-20 ImmoWertV) ist bei Renditeobjekten neben dem Vergleichswert maßgeblich. Blaue Werte = anpassbar.</t>
  </si>
  <si>
    <t>A) MIETANSATZ – TANNHÄUSERSTR. 11/1</t>
  </si>
  <si>
    <t>Wohneinheit</t>
  </si>
  <si>
    <t>Fläche (m²)</t>
  </si>
  <si>
    <t>Kaltmiete (€/m²)</t>
  </si>
  <si>
    <t>Monatliche Miete (€)</t>
  </si>
  <si>
    <t>Jahresmiete (€)</t>
  </si>
  <si>
    <t>Wohnung 1 (größer, z.B. EG/OG)</t>
  </si>
  <si>
    <t>Wohnung 2 (kleiner, z.B. OG/DG)</t>
  </si>
  <si>
    <t>Wohnung 3 / Atelier → WE (110 m², Gartenzugang +1 €/m²)</t>
  </si>
  <si>
    <t>→ Umbaukosten Atelier → WE3 (110 m²): 80.000–130.000 € (Gartenzugang, Küche, Bad). Wertsteigerung nach Umbau erheblich (Mietertrag +13.200 €/Jahr).</t>
  </si>
  <si>
    <t>JAHRES-ROHERTRAG GESAMT</t>
  </si>
  <si>
    <t>B) ERTRAGSWERTBERECHNUNG</t>
  </si>
  <si>
    <t>Erläuterung</t>
  </si>
  <si>
    <t>Jahres-Rohertrag</t>
  </si>
  <si>
    <t>€/Jahr</t>
  </si>
  <si>
    <t>Kaltmiete 3 WE inkl. Gartenzuschlag (∅ 12,33 €/m²)</t>
  </si>
  <si>
    <t>Bewirtschaftungskosten</t>
  </si>
  <si>
    <t>∅ 25% (Verwaltung, Instand., Mietausfall)</t>
  </si>
  <si>
    <t>Jahres-Reinertrag</t>
  </si>
  <si>
    <t>Rohertrag × (1 – Bewirtschaftungskosten)</t>
  </si>
  <si>
    <t>Bodenwert (11/1)</t>
  </si>
  <si>
    <t>444 m² × 470 €/m² Bodenrichtwert (GMB GGA Reutlingen 2023, Zone 76501010)</t>
  </si>
  <si>
    <t>Bodenwertverzinsung (Liegenschz.)</t>
  </si>
  <si>
    <t>Liegenschaftszins 3-4 Familienhaus 1,1% (GMB GGA Reutlingen 2023, S.55, Tab. 7.2 – offizieller Gutachterausschuss)</t>
  </si>
  <si>
    <t>Bodenwertverzinsung €</t>
  </si>
  <si>
    <t>Bodenwert × Liegenschaftszins</t>
  </si>
  <si>
    <t>Gebäude-Reinertrag</t>
  </si>
  <si>
    <t>Jahres-Reinertrag – Bodenwertverzinsung</t>
  </si>
  <si>
    <t>Restnutzungsdauer (RND)</t>
  </si>
  <si>
    <t>2021 gebaut, GND 70 J. → RND 45 J.</t>
  </si>
  <si>
    <t>Vervielfältiger (RND/Liegenschz.)</t>
  </si>
  <si>
    <t>Annuitätenfaktor nach Barwertformel</t>
  </si>
  <si>
    <t>GEBÄUDEERTRAGSWERT</t>
  </si>
  <si>
    <t>Gebäude-Reinertrag × Vervielfältiger</t>
  </si>
  <si>
    <t>Bleibt separat angesetzt</t>
  </si>
  <si>
    <t>ERTRAGSWERT GESAMT</t>
  </si>
  <si>
    <t>C) WERTVERGLEICH 11/1: SACHWERT vs. ERTRAGSWERT vs. VERGLEICHSWERT</t>
  </si>
  <si>
    <t>Methode</t>
  </si>
  <si>
    <t>Wert 11/1 (€)</t>
  </si>
  <si>
    <t>Einschätzung</t>
  </si>
  <si>
    <t>Kommentar</t>
  </si>
  <si>
    <t>Sachwertverfahren (BewG, steuerlich)</t>
  </si>
  <si>
    <t>Untergrenze</t>
  </si>
  <si>
    <t>Wird vom Finanzamt verwendet – oft zu konservativ</t>
  </si>
  <si>
    <t>Ertragswertverfahren</t>
  </si>
  <si>
    <t>Mittelwert Rendite</t>
  </si>
  <si>
    <t>Relevant für Investor-Käufer (Kaufpreisfaktor ~25x)</t>
  </si>
  <si>
    <t>Vergleichswertverfahren (Mittel)</t>
  </si>
  <si>
    <t>Marktpreis</t>
  </si>
  <si>
    <t>Marktpreise Sickenhausen 2025 – realistischster Ansatz</t>
  </si>
  <si>
    <t>EMPFOHLENER ANSATZ (Mittelwert alle)</t>
  </si>
  <si>
    <t>★ Bester Schätzwert</t>
  </si>
  <si>
    <t>Durchschnitt der drei Methoden</t>
  </si>
  <si>
    <t>⚠ Das Atelier (ausbaubar zur 3. WE) ist im Ertragswert noch NICHT berücksichtigt (Fläche = 0 m²). Sobald ausgebaut und vermietet, steigt der Ertragswert um schätzungsweise 80.000–150.000 €.</t>
  </si>
  <si>
    <t>SCHENKUNGSSTEUERBERECHNUNG – DEUTSCHLAND (ErbStG)</t>
  </si>
  <si>
    <t>A) PARAMETER</t>
  </si>
  <si>
    <t>Gesamtwert Immobilien (steuerlich)</t>
  </si>
  <si>
    <t>Steuerl. Grundbesitzwert (§182 BewG)</t>
  </si>
  <si>
    <t>Anzahl Kinder</t>
  </si>
  <si>
    <t>Steuerklasse I (§ 15 ErbStG)</t>
  </si>
  <si>
    <t>Freibetrag je Kind (§ 16 Abs. 1 Nr. 2)</t>
  </si>
  <si>
    <t>Gilt alle 10 Jahre erneuert</t>
  </si>
  <si>
    <t>Alter der Schenkerin</t>
  </si>
  <si>
    <t>Jahre – relevant für Nießbrauchswert</t>
  </si>
  <si>
    <t>Schenkungsjahr</t>
  </si>
  <si>
    <t>Jahr der geplanten Schenkung</t>
  </si>
  <si>
    <t>B) SZENARIO: GLEICHMÄSSIGE AUFTEILUNG AUF 3 KINDER</t>
  </si>
  <si>
    <t>Kind 1</t>
  </si>
  <si>
    <t>Kind 2</t>
  </si>
  <si>
    <t>Kind 3</t>
  </si>
  <si>
    <t>Schenkungsanteil (1/3 je Kind)</t>
  </si>
  <si>
    <t>Freibetrag je Kind</t>
  </si>
  <si>
    <t>Steuerpflichtiger Erwerb</t>
  </si>
  <si>
    <t>Steuersatz (§ 19 ErbStG, Kl. I)</t>
  </si>
  <si>
    <t>SCHENKUNGSSTEUER je Kind</t>
  </si>
  <si>
    <t>C) VERGLEICH: SCHENKUNG vs. ERBSCHAFT</t>
  </si>
  <si>
    <t>Schenkung zu Lebzeiten</t>
  </si>
  <si>
    <t>Erbschaft (nach Tod)</t>
  </si>
  <si>
    <t>Steuerlicher Gesamtwert</t>
  </si>
  <si>
    <t>Gesamtfreibetrag (3 Kinder)</t>
  </si>
  <si>
    <t>Steuerpflichtiger Erwerb gesamt</t>
  </si>
  <si>
    <t>Schenkungssteuer / Erbschaftsteuer GESAMT</t>
  </si>
  <si>
    <t>VORTEIL SCHENKUNG</t>
  </si>
  <si>
    <t>→ Steuerersparnis durch Schenkung</t>
  </si>
  <si>
    <t>Wichtige Hinweise: Freibetrag 400.000 € gilt alle 10 Jahre – eine Schenkung heute ermöglicht nach 10 Jahren eine weitere steuerfreie Schenkung. Nießbrauchsvorbehalt möglich.</t>
  </si>
  <si>
    <t>⚠ Notarkosten, Grundbucheintragungen und ggf. Grunderwerbsteuer (bei Schenkung i.d.R. ausgenommen) sind zusätzlich einzuplanen. Steuerberater konsultieren!</t>
  </si>
  <si>
    <t>SZENARIEN – AUFTEILUNG DER IMMOBILIEN AUF 3 KINDER</t>
  </si>
  <si>
    <t>Alle Szenarien zeigen die steuerliche Auswirkung der Verteilung auf die 3 Kinder. Steuerliche Werte aus Wertermittlung-Sheet.</t>
  </si>
  <si>
    <t>SZENARIO 1: Kind 1 → Haus 9/1 | Kind 2 → Haus 11/1 | Kind 3 → Ausgleichszahlung</t>
  </si>
  <si>
    <t>Erhält</t>
  </si>
  <si>
    <t>Haus 9/1 (Tannh. 9/1)</t>
  </si>
  <si>
    <t>Haus 11/1 (Tannh. 11/1)</t>
  </si>
  <si>
    <t>Ausgleichszahlung</t>
  </si>
  <si>
    <t>Wert der Schenkung (steuerlich)</t>
  </si>
  <si>
    <t>Freibetrag</t>
  </si>
  <si>
    <t>Schenkungssteuer</t>
  </si>
  <si>
    <t>STEUERGESAMT Szenario 1</t>
  </si>
  <si>
    <t>→ Nachteil: Haus 11/1 deutlich wertvoller</t>
  </si>
  <si>
    <t>SZENARIO 2: GLEICHMÄSSIGE AUFTEILUNG – alle 3 Kinder erhalten 1/3 je Haus (Miteigentum)</t>
  </si>
  <si>
    <t>1/3 Anteil beide Häuser</t>
  </si>
  <si>
    <t>Wert der Schenkung (steuerlich, 1/3)</t>
  </si>
  <si>
    <t>STEUERGESAMT Szenario 2</t>
  </si>
  <si>
    <t>→ Steuerlich optimal, aber Miteigentum komplex</t>
  </si>
  <si>
    <t>SZENARIO 3: SCHENKUNG MIT NIESBRAUCHSVORBEHALT (Mutter wohnt weiter im Haus)</t>
  </si>
  <si>
    <t>Berechnung für beide Objekte (Gesamt)</t>
  </si>
  <si>
    <t>Rohwert der Schenkung (steuerlich)</t>
  </si>
  <si>
    <t>Jahreswert Nießbrauch (Mietwert ca. 3,5%/Jahr)</t>
  </si>
  <si>
    <t>Vervielfältiger (Mutter 74 J., §14 BewG)</t>
  </si>
  <si>
    <t>Kapitalwert Nießbrauch</t>
  </si>
  <si>
    <t>Steuerpflichtiger Wert nach Nießbrauchsabzug</t>
  </si>
  <si>
    <t>Gesamtfreibetrag 3 Kinder</t>
  </si>
  <si>
    <t>Steuerpflichtiger Erwerb nach Freibetrag</t>
  </si>
  <si>
    <t>Geschätzte Schenkungssteuer gesamt</t>
  </si>
  <si>
    <t>ZUSAMMENFASSUNG &amp; EMPFEHLUNG</t>
  </si>
  <si>
    <t>Szenario</t>
  </si>
  <si>
    <t>Steuerbelastung</t>
  </si>
  <si>
    <t>Vorteil</t>
  </si>
  <si>
    <t>Nachteil</t>
  </si>
  <si>
    <t>Sz. 1: Ein Haus pro Kind</t>
  </si>
  <si>
    <t>Klare Zuordnung</t>
  </si>
  <si>
    <t>Wertungleichgewicht, Ausgleich nötig</t>
  </si>
  <si>
    <t>Sz. 2: Miteigentum 1/3</t>
  </si>
  <si>
    <t>Steueroptimal, gleich</t>
  </si>
  <si>
    <t>Miteigentum → Konflikte möglich</t>
  </si>
  <si>
    <t>Sz. 3: Mit Nießbrauch</t>
  </si>
  <si>
    <t>Mutter bleibt abgesichert, Steuerwert ↓</t>
  </si>
  <si>
    <t>Kinder verfügen nicht frei über Objekte</t>
  </si>
  <si>
    <t>★ EMPFEHLUNG: Szenario 3 (Schenkung mit Nießbrauchsvorbehalt) ist oft die beste Kombination: Mutter bleibt abgesichert, Steuerwert sinkt, Freibeträge werden voll ausgeschöpft. Unbedingt Notar &amp; Steuerberater einschalten.</t>
  </si>
  <si>
    <t>MARKTWERT-BASIERTE AUFTEILUNG – FAIR-VALUE FÜR GESCHWISTERAUSGLEICH</t>
  </si>
  <si>
    <t>Steuerlich gilt der Grundbesitzwert (Finanzamt). Für den fairen Ausgleich unter Geschwistern ist der Marktwert maßgeblich.</t>
  </si>
  <si>
    <t>A) MARKTWERTE &amp; WERTGEFÄLLE (Quelle: Marktwert-Sheet, ∅ Vergleichspreise)</t>
  </si>
  <si>
    <t>Objekt</t>
  </si>
  <si>
    <t>Marktwert (Mittelwert)</t>
  </si>
  <si>
    <t>Anteil am Gesamtwert</t>
  </si>
  <si>
    <t>Ideeller 1/3-Anspruch je Kind</t>
  </si>
  <si>
    <t>Tannhäuserstraße 9/1 (Bj. 1982)</t>
  </si>
  <si>
    <t>Tannhäuserstraße 11/1 (Bj. 2021)</t>
  </si>
  <si>
    <t>GESAMT MARKTWERT</t>
  </si>
  <si>
    <t>B) SZENARIO 1 – MARKTWERT: Kind 1 → Haus 9/1 | Kind 2 → Haus 11/1 | Kind 3 → Barzahlung</t>
  </si>
  <si>
    <t>Haus 9/1</t>
  </si>
  <si>
    <t>Haus 11/1</t>
  </si>
  <si>
    <t>Ausgleichszahlung bar</t>
  </si>
  <si>
    <t>Marktwert des Objekts</t>
  </si>
  <si>
    <t>Ideeller Anspruch (1/3 Gesamtwert)</t>
  </si>
  <si>
    <t>Ausgleichsbetrag (Mehr/Minder)</t>
  </si>
  <si>
    <t>→ Zahlt Ausgleich AN Kind 3</t>
  </si>
  <si>
    <t>← erhält</t>
  </si>
  <si>
    <t>C) SZENARIO 2 – MARKTWERT: Miteigentum 1/3 je Kind (kein Ausgleich nötig)</t>
  </si>
  <si>
    <t>Kind 1 (1/3)</t>
  </si>
  <si>
    <t>Kind 2 (1/3)</t>
  </si>
  <si>
    <t>Kind 3 (1/3)</t>
  </si>
  <si>
    <t>Marktwert-Anteil je Kind</t>
  </si>
  <si>
    <t>Ausgleich notwendig?</t>
  </si>
  <si>
    <t>NEIN – alle gleich</t>
  </si>
  <si>
    <t>★ FAZIT: Bei Szenario 1 (je ein Haus) müsste Kind 2 (Haus 11/1, Marktwert ~946k) ca. 460.000 € an Kind 3 ausgleichen – das ist kaum ohne Verkauf/Kredit machbar. Szenario 2 (Miteigentum) oder Szenario 3 (Nießbrauch) sind fairer und praktikabler.</t>
  </si>
  <si>
    <t>MIETEINNAHMEN &amp; RENDITEANALYSE – TANNHÄUSERSTR. 9/1 &amp; 11/1, REUTLINGEN</t>
  </si>
  <si>
    <t>Quellen: ImmoScout24/Wohnungsboerse Reutlingen 2026 (∅ 11,87–13,44 €/m² Wohnungen | Häuser ∅ 14,53 €/m²) | Blaue Werte = anpassbar</t>
  </si>
  <si>
    <t>A) AKTUELLE MARKTMIETEN REUTLINGEN / SICKENHAUSEN 2026</t>
  </si>
  <si>
    <t>Segment</t>
  </si>
  <si>
    <t>Untergrenze
(€/m²)</t>
  </si>
  <si>
    <t>Mittelwert
(€/m²)</t>
  </si>
  <si>
    <t>Obergrenze
(€/m²)</t>
  </si>
  <si>
    <t>Quelle</t>
  </si>
  <si>
    <t>Wohnung klein &lt;60 m²</t>
  </si>
  <si>
    <t>ImmoScout24 Reutlingen Q1/2026</t>
  </si>
  <si>
    <t>Wohnung mittel 60–100 m²</t>
  </si>
  <si>
    <t>Wohnung groß &gt;100 m²</t>
  </si>
  <si>
    <t>ImmoScout24 / Engel&amp;Völkers 2026</t>
  </si>
  <si>
    <t>EFH gesamt vermietet</t>
  </si>
  <si>
    <t>Wohnungsboerse / E&amp;V 2026</t>
  </si>
  <si>
    <t>Neubau-Aufschlag ab 2015</t>
  </si>
  <si>
    <t>+1,00</t>
  </si>
  <si>
    <t>+1,50</t>
  </si>
  <si>
    <t>+2,00</t>
  </si>
  <si>
    <t>Marktbeobachtung RTL</t>
  </si>
  <si>
    <t>Altbau-Abschlag vor 1990</t>
  </si>
  <si>
    <t>-1,00</t>
  </si>
  <si>
    <t>-1,50</t>
  </si>
  <si>
    <t>-2,00</t>
  </si>
  <si>
    <t>B) TANNHÄUSERSTR. 9/1 – EFH ALTBAU (Bj. 1982, 160 m², 1 WE, kein Ausbaupotenzial)</t>
  </si>
  <si>
    <t>Fläche
(m²)</t>
  </si>
  <si>
    <t>Miete
(€/m²)</t>
  </si>
  <si>
    <t>Kaltmiete
/Monat</t>
  </si>
  <si>
    <t>Kaltmiete
/Jahr</t>
  </si>
  <si>
    <t>NK
/Monat</t>
  </si>
  <si>
    <t>Warmmiete
/Monat</t>
  </si>
  <si>
    <t>EFH gesamt (1 WE, Vollvermietung)</t>
  </si>
  <si>
    <t>Altbau-Abschlag vs. Marktmittel, 1 WE</t>
  </si>
  <si>
    <t>⚠ Kein Ausbau zur Mehrfamilienwohnung möglich (kein sep. Treppenhaus) → bleibt dauerhaft 1 WE. Alternative: Eigennutzung durch ein Kind.</t>
  </si>
  <si>
    <t>JAHRESBILANZ 9/1</t>
  </si>
  <si>
    <t>Position</t>
  </si>
  <si>
    <t>Monatlich</t>
  </si>
  <si>
    <t>Jährlich</t>
  </si>
  <si>
    <t>Kaltmiete brutto</t>
  </si>
  <si>
    <t>Jahresrohertrag</t>
  </si>
  <si>
    <t>Verwaltung (5%)</t>
  </si>
  <si>
    <t>Hausverwaltung, Abrechnung</t>
  </si>
  <si>
    <t>Instandhaltung (1,5% Kaufpreis)</t>
  </si>
  <si>
    <t>Altbau: höhere Rücklage nötig</t>
  </si>
  <si>
    <t>Mietausfallwagnis (3%)</t>
  </si>
  <si>
    <t>Leerstand, Ausfall</t>
  </si>
  <si>
    <t>Versicherung / Grundsteuer</t>
  </si>
  <si>
    <t>Ø-Wert EFH Reutlingen</t>
  </si>
  <si>
    <t>NETTO-EINNAHMEN p.a.</t>
  </si>
  <si>
    <t>Nach Bewirtschaftungskosten</t>
  </si>
  <si>
    <t>C) TANNHÄUSERSTR. 11/1 – MFH NEUBAU (Bj. 2021, 3 WE + Ladesäule, 240 m² gesamt)</t>
  </si>
  <si>
    <t>WE1 – Hauptwohnung (EG/OG, groß)</t>
  </si>
  <si>
    <t>Neubau, Ladesäule-Zugang, Garten</t>
  </si>
  <si>
    <t>WE2 – Zweitwohnung (OG, mittel)</t>
  </si>
  <si>
    <t>Neubau, separate Einheit</t>
  </si>
  <si>
    <t>WE3 – Atelier → Wohnung (110 m², Garten + sep. Eingang)</t>
  </si>
  <si>
    <t>Gartenzugang +1,00 €/m² Aufschlag (∅ RTL Gartenprämie)</t>
  </si>
  <si>
    <t>4 Stellplätze (2 × mit Ladesäule 80 €, 2 × ohne 55 €)</t>
  </si>
  <si>
    <t>2 Stellpl. mit Ladesäule: 80 €/Mon | 2 Außenstellpl.: 55 €/Mon (Quelle: Immowelt RTL 2026)</t>
  </si>
  <si>
    <t>GESAMT BRUTTO (3 WE + Ladesäule)</t>
  </si>
  <si>
    <t>Vollvermietung alle 3 WE + Ladesäule</t>
  </si>
  <si>
    <t>JAHRESBILANZ 11/1</t>
  </si>
  <si>
    <t>Kaltmiete brutto + Ladesäule</t>
  </si>
  <si>
    <t>Jahresrohertrag MFH</t>
  </si>
  <si>
    <t>MFH-Verwaltung</t>
  </si>
  <si>
    <t>Instandhaltung (0,8% Kaufpreis)</t>
  </si>
  <si>
    <t>Neubau: niedrige Rücklage</t>
  </si>
  <si>
    <t>Leerstand 1 von 3 WE</t>
  </si>
  <si>
    <t>MFH: höherer Ansatz</t>
  </si>
  <si>
    <t>D) RENDITEANALYSE &amp; DIREKTVERGLEICH BEIDE OBJEKTE</t>
  </si>
  <si>
    <t>Tannh. 9/1
(EFH Altbau)</t>
  </si>
  <si>
    <t>Tannh. 11/1
(MFH 3 WE Neubau)</t>
  </si>
  <si>
    <t>Jahres-Kaltmiete brutto</t>
  </si>
  <si>
    <t>Rohertrag vor Kosten</t>
  </si>
  <si>
    <t>Netto-Mieteinnahmen p.a.</t>
  </si>
  <si>
    <t>Marktwert (Vergleich, Mittel)</t>
  </si>
  <si>
    <t>Marktwert Mittelwert – direkt eingeben (Quelle: Marktwert-Sheet)</t>
  </si>
  <si>
    <t>Brutto-Mietrendite</t>
  </si>
  <si>
    <t>Bruttomiete / Marktwert</t>
  </si>
  <si>
    <t>Netto-Mietrendite</t>
  </si>
  <si>
    <t>Nettomiete / Marktwert</t>
  </si>
  <si>
    <t>Kaufpreisfaktor (Brutto)</t>
  </si>
  <si>
    <t>x</t>
  </si>
  <si>
    <t>&lt; 25x = günstig für Investor</t>
  </si>
  <si>
    <t>Monatlicher Nettoüberschuss</t>
  </si>
  <si>
    <t>Ø mtl. Cashflow nach Kosten</t>
  </si>
  <si>
    <t>Break-even (Jahre bis Wertrückfluss)</t>
  </si>
  <si>
    <t>Wie lange bis Marktwert durch Miete gedeckt</t>
  </si>
  <si>
    <t>E) 10-JAHRES MIETPROJEKTION (mit jährlicher Mietsteigerung)</t>
  </si>
  <si>
    <t>Jährliche Mietsteigerung</t>
  </si>
  <si>
    <t>∅ Reutlingen Mietsteigerung 2021–2025: ca. +3,6%/Jahr | Konservativer Ansatz 2,5%</t>
  </si>
  <si>
    <t>Startjahr</t>
  </si>
  <si>
    <t>Jahr der Schenkung / Beginn Vollvermietung</t>
  </si>
  <si>
    <t>Nettomiete 9/1 (€)</t>
  </si>
  <si>
    <t>Nettomiete 11/1 (€)</t>
  </si>
  <si>
    <t>Gesamt (€)</t>
  </si>
  <si>
    <t>Kumuliert 9/1</t>
  </si>
  <si>
    <t>Kumuliert 11/1</t>
  </si>
  <si>
    <t>Kumuliert Gesamt</t>
  </si>
  <si>
    <t>Steigerung vs. Jahr 1</t>
  </si>
  <si>
    <t>★ FAZIT: 11/1 erzielt als Renditeobjekt ca. 3–4× mehr Nettomieteinnahmen als 9/1. Über 10 Jahre kumuliert über 400.000 € mehr Einnahmen. Schenkung zu Lebzeiten sichert sofortigen Mieteinnahme-Zufluss an die Kinder ab dem Übertragungsjahr.</t>
  </si>
  <si>
    <t>⚖  WARUM DAS ERBE STRUKTURELL UNFAIR IST – ARGUMENTENLISTE</t>
  </si>
  <si>
    <t>Schenkung zu Lebzeiten | Tannhäuserstr. 9/1 vs. 11/1 | Reutlingen-Sickenhausen | Analyse 2026</t>
  </si>
  <si>
    <t>Die Mutter möchte beide Immobilien zu gleichen Teilen an 3 Kinder verschenken. Tatsächlich sind die Objekte jedoch in Wert, Ertragspotenzial und Zukunftsaussichten fundamental verschieden – eine schlichte Drittelteilung benachteiligt die Empfänger von 9/1 erheblich und schafft dauerhaften Konfliktstoff.</t>
  </si>
  <si>
    <t>#</t>
  </si>
  <si>
    <t>Argument</t>
  </si>
  <si>
    <t>9/1 (EFH Altbau)</t>
  </si>
  <si>
    <t>11/1 (MFH Neubau)</t>
  </si>
  <si>
    <t>Benachteiligung</t>
  </si>
  <si>
    <t>🔴  WICHTIGSTES ARGUMENT – MORALISCHER VERTRAUENSBRUCH</t>
  </si>
  <si>
    <t>★★</t>
  </si>
  <si>
    <t>🤝 Familiäre Absprache wurde gebrochen
→ Jonas stimmte dem Einsatz des gemeinsamen Geldes zu</t>
  </si>
  <si>
    <t>Die Familie fragte Jonas, ob er damit einverstanden ist, dass das gemeinsam verfügbare Geld (u.a. aus dem Großelternerbe) in den Bau von 11/1 fließt. Jonas stimmte zu – im Vertrauen auf eine faire Beteiligung am Ergebnis.</t>
  </si>
  <si>
    <t>Jetzt soll Jonas trotz dieser Zustimmung NICHT das Haus erhalten, das mit dem Geld gebaut wurde (11/1). Er wird aus der Entscheidung herausgedrängt und soll das schlechtere Objekt (9/1) bekommen.</t>
  </si>
  <si>
    <t>⚠ REIN MORALISCH:
Kein formaler Rechtsanspruch, da kein Kapital direkt übertragen wurde – aber ein klarer Vertrauensbruch. Wer um Zustimmung gebeten wird, darf auch auf Fairness vertrauen.</t>
  </si>
  <si>
    <t>📌 Kernpunkt: Jonas hat nicht formal Geld übertragen oder rechtlich investiert – er wurde aber um seine Zustimmung gebeten, dass Familiengeld für den Bau von 11/1 genutzt wird. Diese Zustimmung hat er gegeben, im guten Glauben auf eine gerechte Beteiligung. Dieses Vertrauen wird jetzt gebrochen, indem er gezielt vom besseren Objekt ausgeschlossen wird. Das ist kein Rechtsproblem – aber ein starkes menschliches Argument in jedem Familiengespräch und vor dem Notar.</t>
  </si>
  <si>
    <t>📋</t>
  </si>
  <si>
    <t>📅 Offizielles Gutachten 9/1
wird erstellt am 22. April 2026</t>
  </si>
  <si>
    <t>Für 9/1 (Tannhäuserstr. 9/1) wird am 22.04.2026 ein offizielles Wertgutachten erstellt. Ergebnis steht noch aus.</t>
  </si>
  <si>
    <t>Das Gutachten kann den Marktwert von 9/1 bestätigen oder korrigieren. Falls der Gutachter einen niedrigeren Wert als 472.000 € ansetzt, verstärkt das die Wertungleichheit zwischen den Objekten weiter.</t>
  </si>
  <si>
    <t>⚡ HANDLUNGSEMPFEHLUNG:
Darauf bestehen, dass auch für 11/1 ein gleichwertiges Gutachten erstellt wird – für einen fairen Vergleich.</t>
  </si>
  <si>
    <t>— Weitere Argumente (strukturelle Wertungleichheit) —</t>
  </si>
  <si>
    <t>01</t>
  </si>
  <si>
    <t>💰 Marktwert-Unterschied
(Vergleichswertverfahren)</t>
  </si>
  <si>
    <t>472.000 €
(160 m² × 2.950 €/m²)</t>
  </si>
  <si>
    <t>1.470.000 €
(300 m² × 4.900 €/m²)</t>
  </si>
  <si>
    <t>→ 11/1 ist 3,1× MEHR wert.
Differenz: ~998.000 €</t>
  </si>
  <si>
    <t>02</t>
  </si>
  <si>
    <t>📅 Jährliche Brutto-Mieteinnahmen
(bei Vollvermietung)</t>
  </si>
  <si>
    <t>22.080 €/Jahr
(EFH, 1 WE, 1.840 €/Mon)</t>
  </si>
  <si>
    <t>47.760 €/Jahr
(3 WE + 4 Stellpl., 3.980 €/Mon)</t>
  </si>
  <si>
    <t>→ 11/1 bringt 2,2× mehr
Bruttomiete p.a.</t>
  </si>
  <si>
    <t>03</t>
  </si>
  <si>
    <t>💵 Netto-Cashflow p.a.
(nach Verwaltung, Instandh., Ausfall)</t>
  </si>
  <si>
    <t>12.274 €/Jahr
(1.023 €/Mon)</t>
  </si>
  <si>
    <t>30.499 €/Jahr
(2.542 €/Mon)</t>
  </si>
  <si>
    <t>→ Über 10 Jahre: ~183.000 €
mehr Einnahmen aus 11/1.</t>
  </si>
  <si>
    <t>04</t>
  </si>
  <si>
    <t>🏗️ Ausbaupotenzial
(zukünftige Wertsteigerung)</t>
  </si>
  <si>
    <t>KEIN Potenzial.
Kein sep. Treppenhaus, kein Dachausbau möglich → bleibt dauerhaft 1 WE.</t>
  </si>
  <si>
    <t>WE3 (Atelier 110 m²)
kann zur vollwertigen Wohnung ausgebaut werden → +16.500 €/Jahr Mehrertrag.</t>
  </si>
  <si>
    <t>→ 9/1 ist strukturell
„eingefroren", 11/1 wächst.</t>
  </si>
  <si>
    <t>05</t>
  </si>
  <si>
    <t>06</t>
  </si>
  <si>
    <t>📈 Baujahr &amp; Sanierungsrisiko
(Kostenrisiko für Eigentümer)</t>
  </si>
  <si>
    <t>Baujahr 1982 (Altbau).
Höherer Sanierungsbedarf, Energieeffizienz schlecht → laufende Investitionen nötig.</t>
  </si>
  <si>
    <t>07</t>
  </si>
  <si>
    <t>🏛️ Steuerlicher Grundbesitzwert
(Finanzamt-Bewertung nach BewG)</t>
  </si>
  <si>
    <t>Sachwert: ~340.000 €
(Finanzamt-Ansatz)</t>
  </si>
  <si>
    <t>08</t>
  </si>
  <si>
    <t>09</t>
  </si>
  <si>
    <t>📊 Rendite &amp; Investorenattraktivität
(Kaufpreisfaktor)</t>
  </si>
  <si>
    <t>Kaufpreisfaktor: 21,4×
Rendite 4,68% brutto
→ für EFH-Vermieter OK</t>
  </si>
  <si>
    <t>10</t>
  </si>
  <si>
    <t>⚖️ Ausgleichszahlung bei Erbauseinandersetzung
(Fazit Gesamtbewertung)</t>
  </si>
  <si>
    <t>Gesamtwert 9/1:
~472.000 €
Anteil je Kind (1/3): ~157.333 €</t>
  </si>
  <si>
    <t>★  EMPFEHLUNG: Was wäre fair?</t>
  </si>
  <si>
    <t>Option A</t>
  </si>
  <si>
    <t>Kind, das 11/1 erhält, zahlt ~332.000–500.000 € Ausgleich an die anderen beiden Geschwister. Wert wird nach Marktwert (Vergleichswert) berechnet, nicht nach Sachwert.</t>
  </si>
  <si>
    <t>Option B</t>
  </si>
  <si>
    <t>Option C</t>
  </si>
  <si>
    <t>Stufenweise Schenkung + Nutzungsrecht</t>
  </si>
  <si>
    <t>Mutter schenkt zunächst 9/1 (Eigennutzung/Vermietung) und behält ein lebenslanges Wohnrecht an 11/1. Restübertragung im Erbfall. Schenkungssteuer-Freibeträge bleiben erhalten.</t>
  </si>
  <si>
    <t>Option D</t>
  </si>
  <si>
    <t>Wertausgleich über Mieteinnahmen</t>
  </si>
  <si>
    <t>Kind mit 9/1 erhält für X Jahre höheren Anteil an den 11/1-Mieteinnahmen bis Wertgleichheit erreicht ist. Erfordert notarielle Regelung und Vertrauen unter Geschwistern.</t>
  </si>
  <si>
    <t>⚠ Hinweis: Alle Werte sind Schätzungen auf Basis verfügbarer Marktdaten (ImmoScout24, Immowelt, BORIS-D 2025). Für eine rechtsverbindliche Bewertung ist ein zertifizierter Gutachter (§194 BauGB) hinzuzuziehen. Steuerliche Beratung durch Steuerberater/Notar empfohlen.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</si>
</sst>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 m²&quot;"/>
    <numFmt numFmtId="165" formatCode="&quot;€ &quot;#,##0"/>
    <numFmt numFmtId="166" formatCode="0.0%"/>
    <numFmt numFmtId="167" formatCode="0.00\x"/>
    <numFmt numFmtId="168" formatCode="#\ ##0&quot; m²&quot;"/>
    <numFmt numFmtId="169" formatCode="0.000"/>
    <numFmt numFmtId="170" formatCode="0.00&quot; €/m²&quot;"/>
    <numFmt numFmtId="171" formatCode="0.0\x"/>
    <numFmt numFmtId="172" formatCode="0.00&quot; x&quot;"/>
    <numFmt numFmtId="173" formatCode="0.0"/>
    <numFmt numFmtId="174" formatCode="0.00&quot; Jahre&quot;"/>
    <numFmt numFmtId="175" formatCode="0000"/>
  </numFmts>
  <fonts count="52" x14ac:knownFonts="1">
    <font>
      <sz val="11"/>
      <color theme="1"/>
      <name val="Calibri"/>
      <family val="2"/>
      <charset val="1"/>
    </font>
    <font>
      <b/>
      <sz val="14"/>
      <color rgb="FFFFFFFF"/>
      <name val="Arial"/>
      <charset val="1"/>
    </font>
    <font>
      <sz val="10"/>
      <color rgb="FFFFFFFF"/>
      <name val="Arial"/>
      <charset val="1"/>
    </font>
    <font>
      <b/>
      <sz val="10"/>
      <color rgb="FFFFFFFF"/>
      <name val="Arial"/>
      <charset val="1"/>
    </font>
    <font>
      <sz val="10"/>
      <color rgb="FF000000"/>
      <name val="Arial"/>
      <charset val="1"/>
    </font>
    <font>
      <sz val="10"/>
      <color rgb="FF0000FF"/>
      <name val="Arial"/>
      <charset val="1"/>
    </font>
    <font>
      <sz val="10"/>
      <color rgb="FF808080"/>
      <name val="Arial"/>
      <charset val="1"/>
    </font>
    <font>
      <b/>
      <sz val="10"/>
      <color rgb="FF000000"/>
      <name val="Arial"/>
      <charset val="1"/>
    </font>
    <font>
      <sz val="10"/>
      <color rgb="FF008000"/>
      <name val="Arial"/>
      <charset val="1"/>
    </font>
    <font>
      <i/>
      <sz val="9"/>
      <color rgb="FFFF0000"/>
      <name val="Arial"/>
      <charset val="1"/>
    </font>
    <font>
      <b/>
      <sz val="11"/>
      <color rgb="FFFFFFFF"/>
      <name val="Arial"/>
      <charset val="1"/>
    </font>
    <font>
      <b/>
      <sz val="13"/>
      <color rgb="FFFFFFFF"/>
      <name val="Arial"/>
      <charset val="1"/>
    </font>
    <font>
      <sz val="8"/>
      <color rgb="FF000000"/>
      <name val="Arial"/>
      <charset val="1"/>
    </font>
    <font>
      <i/>
      <sz val="8"/>
      <color rgb="FFFF0000"/>
      <name val="Arial"/>
      <charset val="1"/>
    </font>
    <font>
      <sz val="9"/>
      <color rgb="FF000000"/>
      <name val="Arial"/>
      <charset val="1"/>
    </font>
    <font>
      <b/>
      <sz val="10"/>
      <color rgb="FFFF0000"/>
      <name val="Arial"/>
      <charset val="1"/>
    </font>
    <font>
      <b/>
      <sz val="10"/>
      <color rgb="FF008000"/>
      <name val="Arial"/>
      <charset val="1"/>
    </font>
    <font>
      <sz val="10"/>
      <color rgb="FF000000"/>
      <name val="Calibri"/>
      <charset val="1"/>
    </font>
    <font>
      <b/>
      <sz val="10"/>
      <color rgb="FF1F3864"/>
      <name val="Arial"/>
      <charset val="1"/>
    </font>
    <font>
      <i/>
      <sz val="10"/>
      <color rgb="FF595959"/>
      <name val="Arial"/>
      <charset val="1"/>
    </font>
    <font>
      <b/>
      <sz val="10"/>
      <color rgb="FF000000"/>
      <name val="Calibri"/>
      <charset val="1"/>
    </font>
    <font>
      <sz val="10"/>
      <color rgb="FF0070C0"/>
      <name val="Calibri"/>
      <charset val="1"/>
    </font>
    <font>
      <i/>
      <sz val="10"/>
      <color rgb="FFFF0000"/>
      <name val="Arial"/>
      <charset val="1"/>
    </font>
    <font>
      <i/>
      <sz val="9"/>
      <color rgb="FF1F3864"/>
      <name val="Arial"/>
      <charset val="1"/>
    </font>
    <font>
      <i/>
      <sz val="9"/>
      <color rgb="FF595959"/>
      <name val="Arial"/>
      <charset val="1"/>
    </font>
    <font>
      <sz val="10"/>
      <color rgb="FF375623"/>
      <name val="Calibri"/>
      <charset val="1"/>
    </font>
    <font>
      <sz val="10"/>
      <name val="Arial"/>
      <charset val="1"/>
    </font>
    <font>
      <sz val="1"/>
      <color rgb="FFFFFFFF"/>
      <name val="Cambria"/>
      <charset val="1"/>
    </font>
    <font>
      <sz val="1"/>
      <color rgb="FFFFFFFF"/>
      <name val="Arial"/>
      <charset val="1"/>
    </font>
    <font>
      <b/>
      <sz val="10"/>
      <name val="Arial"/>
      <charset val="1"/>
    </font>
    <font>
      <sz val="10"/>
      <color rgb="FFFF0000"/>
      <name val="Arial"/>
      <charset val="1"/>
    </font>
    <font>
      <b/>
      <sz val="10"/>
      <color rgb="FF595959"/>
      <name val="Arial"/>
      <charset val="1"/>
    </font>
    <font>
      <b/>
      <sz val="16"/>
      <color rgb="FFFFFFFF"/>
      <name val="Calibri"/>
      <charset val="1"/>
    </font>
    <font>
      <i/>
      <sz val="10"/>
      <color rgb="FFBFBFBF"/>
      <name val="Calibri"/>
      <charset val="1"/>
    </font>
    <font>
      <i/>
      <sz val="10"/>
      <color rgb="FF1F3864"/>
      <name val="Calibri"/>
      <charset val="1"/>
    </font>
    <font>
      <b/>
      <sz val="10"/>
      <color rgb="FFFFFFFF"/>
      <name val="Calibri"/>
      <charset val="1"/>
    </font>
    <font>
      <b/>
      <sz val="11"/>
      <color rgb="FFFFFFFF"/>
      <name val="Calibri"/>
      <charset val="1"/>
    </font>
    <font>
      <b/>
      <sz val="10"/>
      <color rgb="FFC00000"/>
      <name val="Calibri"/>
      <charset val="1"/>
    </font>
    <font>
      <sz val="9"/>
      <color rgb="FF000000"/>
      <name val="Calibri"/>
      <charset val="1"/>
    </font>
    <font>
      <sz val="9"/>
      <color rgb="FFC00000"/>
      <name val="Calibri"/>
      <charset val="1"/>
    </font>
    <font>
      <b/>
      <sz val="9"/>
      <color rgb="FF7F3F00"/>
      <name val="Calibri"/>
      <charset val="1"/>
    </font>
    <font>
      <i/>
      <sz val="9"/>
      <color rgb="FF7F3F00"/>
      <name val="Calibri"/>
      <charset val="1"/>
    </font>
    <font>
      <b/>
      <sz val="9"/>
      <color rgb="FFFFFFFF"/>
      <name val="Calibri"/>
      <charset val="1"/>
    </font>
    <font>
      <sz val="12"/>
      <color rgb="FF1F3864"/>
      <name val="Calibri"/>
      <charset val="1"/>
    </font>
    <font>
      <b/>
      <sz val="10"/>
      <color rgb="FF1F3864"/>
      <name val="Calibri"/>
      <charset val="1"/>
    </font>
    <font>
      <b/>
      <sz val="9"/>
      <color rgb="FFC00000"/>
      <name val="Calibri"/>
      <charset val="1"/>
    </font>
    <font>
      <i/>
      <sz val="9"/>
      <color rgb="FF595959"/>
      <name val="Calibri"/>
      <charset val="1"/>
    </font>
    <font>
      <sz val="10"/>
      <color rgb="FF1F3864"/>
      <name val="Calibri"/>
      <charset val="1"/>
    </font>
    <font>
      <sz val="10"/>
      <color rgb="FFC00000"/>
      <name val="Calibri"/>
      <charset val="1"/>
    </font>
    <font>
      <b/>
      <sz val="12"/>
      <color rgb="FFFFFFFF"/>
      <name val="Calibri"/>
      <charset val="1"/>
    </font>
    <font>
      <b/>
      <sz val="10"/>
      <color rgb="FF375623"/>
      <name val="Calibri"/>
      <charset val="1"/>
    </font>
    <font>
      <i/>
      <sz val="8"/>
      <color rgb="FF595959"/>
      <name val="Calibri"/>
      <charset val="1"/>
    </font>
  </fonts>
  <fills count="17">
    <fill>
      <patternFill patternType="none"/>
    </fill>
    <fill>
      <patternFill patternType="gray125"/>
    </fill>
    <fill>
      <patternFill patternType="solid">
        <fgColor rgb="FF1F3864"/>
        <bgColor rgb="FF333399"/>
      </patternFill>
    </fill>
    <fill>
      <patternFill patternType="solid">
        <fgColor rgb="FF2E75B6"/>
        <bgColor rgb="FF4472C4"/>
      </patternFill>
    </fill>
    <fill>
      <patternFill patternType="solid">
        <fgColor rgb="FFF2F2F2"/>
        <bgColor rgb="FFE2EFDA"/>
      </patternFill>
    </fill>
    <fill>
      <patternFill patternType="solid">
        <fgColor rgb="FFFFFFFF"/>
        <bgColor rgb="FFFFFEE7"/>
      </patternFill>
    </fill>
    <fill>
      <patternFill patternType="solid">
        <fgColor rgb="FFBDD7EE"/>
        <bgColor rgb="FFDAE8F4"/>
      </patternFill>
    </fill>
    <fill>
      <patternFill patternType="solid">
        <fgColor rgb="FFE2EFDA"/>
        <bgColor rgb="FFDEEAF1"/>
      </patternFill>
    </fill>
    <fill>
      <patternFill patternType="solid">
        <fgColor rgb="FF4472C4"/>
        <bgColor rgb="FF2E75B6"/>
      </patternFill>
    </fill>
    <fill>
      <patternFill patternType="solid">
        <fgColor rgb="FFDEEAF1"/>
        <bgColor rgb="FFDAE8F4"/>
      </patternFill>
    </fill>
    <fill>
      <patternFill patternType="solid">
        <fgColor rgb="FFDAE8F4"/>
        <bgColor rgb="FFDEEAF1"/>
      </patternFill>
    </fill>
    <fill>
      <patternFill patternType="solid">
        <fgColor rgb="FFFCE4D6"/>
        <bgColor rgb="FFFFE2CC"/>
      </patternFill>
    </fill>
    <fill>
      <patternFill patternType="solid">
        <fgColor rgb="FFFFF2CC"/>
        <bgColor rgb="FFFCE4D6"/>
      </patternFill>
    </fill>
    <fill>
      <patternFill patternType="solid">
        <fgColor rgb="FFC00000"/>
        <bgColor rgb="FFFF0000"/>
      </patternFill>
    </fill>
    <fill>
      <patternFill patternType="solid">
        <fgColor rgb="FFFFFEE7"/>
        <bgColor rgb="FFFFFFFF"/>
      </patternFill>
    </fill>
    <fill>
      <patternFill patternType="solid">
        <fgColor rgb="FFFFE2CC"/>
        <bgColor rgb="FFFCE4D6"/>
      </patternFill>
    </fill>
    <fill>
      <patternFill patternType="solid">
        <fgColor rgb="FF375623"/>
        <bgColor rgb="FF595959"/>
      </patternFill>
    </fill>
  </fills>
  <borders count="8">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27">
    <xf numFmtId="0" fontId="0" fillId="0" borderId="0" xfId="0"/>
    <xf numFmtId="0" fontId="1" fillId="2" borderId="0" xfId="0" applyFont="1" applyFill="1" applyAlignment="1">
      <alignment horizontal="center" vertical="center"/>
    </xf>
    <xf numFmtId="0" fontId="18" fillId="9" borderId="0" xfId="0" applyFont="1" applyFill="1" applyAlignment="1">
      <alignment horizontal="left" vertical="center" wrapText="1"/>
    </xf>
    <xf numFmtId="0" fontId="19" fillId="0" borderId="2" xfId="0" applyFont="1" applyBorder="1" applyAlignment="1">
      <alignment horizontal="left" vertical="center" wrapText="1"/>
    </xf>
    <xf numFmtId="0" fontId="24" fillId="4" borderId="2"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xf>
    <xf numFmtId="0" fontId="9" fillId="11" borderId="2"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8" borderId="2" xfId="0" applyFont="1" applyFill="1" applyBorder="1" applyAlignment="1">
      <alignment horizontal="left" vertical="center"/>
    </xf>
    <xf numFmtId="0" fontId="24" fillId="0" borderId="0" xfId="0" applyFont="1" applyAlignment="1">
      <alignment horizontal="left" vertical="center" wrapText="1"/>
    </xf>
    <xf numFmtId="0" fontId="11" fillId="2" borderId="0" xfId="0" applyFont="1" applyFill="1" applyAlignment="1">
      <alignment horizontal="center"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left" vertical="center"/>
    </xf>
    <xf numFmtId="0" fontId="4" fillId="4" borderId="1" xfId="0" applyFont="1" applyFill="1" applyBorder="1" applyAlignment="1">
      <alignment horizontal="center" vertical="center"/>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164" fontId="5"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5" fontId="5"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4" borderId="1" xfId="0" applyFont="1" applyFill="1" applyBorder="1" applyAlignment="1">
      <alignment horizontal="left" vertical="center"/>
    </xf>
    <xf numFmtId="165" fontId="4" fillId="0" borderId="1" xfId="0" applyNumberFormat="1" applyFont="1" applyBorder="1" applyAlignment="1">
      <alignment horizontal="right" vertical="center"/>
    </xf>
    <xf numFmtId="165" fontId="7" fillId="6" borderId="1" xfId="0" applyNumberFormat="1" applyFont="1" applyFill="1" applyBorder="1" applyAlignment="1">
      <alignment horizontal="right" vertical="center"/>
    </xf>
    <xf numFmtId="165" fontId="8" fillId="0" borderId="1" xfId="0" applyNumberFormat="1" applyFont="1" applyBorder="1" applyAlignment="1">
      <alignment horizontal="right" vertical="center"/>
    </xf>
    <xf numFmtId="0" fontId="7" fillId="7" borderId="1" xfId="0" applyFont="1" applyFill="1" applyBorder="1" applyAlignment="1">
      <alignment horizontal="left" vertical="center"/>
    </xf>
    <xf numFmtId="165" fontId="7" fillId="7" borderId="1" xfId="0" applyNumberFormat="1" applyFont="1" applyFill="1" applyBorder="1" applyAlignment="1">
      <alignment horizontal="right" vertical="center"/>
    </xf>
    <xf numFmtId="0" fontId="7" fillId="5" borderId="1" xfId="0" applyFont="1" applyFill="1" applyBorder="1" applyAlignment="1">
      <alignment horizontal="left" vertical="center"/>
    </xf>
    <xf numFmtId="0" fontId="9" fillId="0" borderId="0" xfId="0" applyFont="1" applyAlignment="1">
      <alignment horizontal="left" vertical="center" wrapText="1"/>
    </xf>
    <xf numFmtId="0" fontId="10" fillId="2" borderId="0" xfId="0" applyFont="1" applyFill="1" applyAlignment="1">
      <alignment horizontal="center" vertical="center"/>
    </xf>
    <xf numFmtId="165" fontId="8" fillId="5" borderId="1" xfId="0" applyNumberFormat="1" applyFont="1" applyFill="1" applyBorder="1" applyAlignment="1">
      <alignment horizontal="right" vertical="center"/>
    </xf>
    <xf numFmtId="0" fontId="4" fillId="5" borderId="2" xfId="0" applyFont="1" applyFill="1" applyBorder="1" applyAlignment="1">
      <alignment horizontal="left" vertical="center"/>
    </xf>
    <xf numFmtId="165" fontId="5" fillId="4" borderId="1" xfId="0" applyNumberFormat="1" applyFont="1" applyFill="1" applyBorder="1" applyAlignment="1">
      <alignment horizontal="right" vertical="center"/>
    </xf>
    <xf numFmtId="165" fontId="5" fillId="5" borderId="1" xfId="0" applyNumberFormat="1" applyFont="1" applyFill="1" applyBorder="1" applyAlignment="1">
      <alignment horizontal="right" vertical="center"/>
    </xf>
    <xf numFmtId="165" fontId="4" fillId="7" borderId="1" xfId="0" applyNumberFormat="1" applyFont="1" applyFill="1" applyBorder="1" applyAlignment="1">
      <alignment horizontal="right" vertical="center"/>
    </xf>
    <xf numFmtId="165" fontId="4" fillId="5" borderId="1" xfId="0" applyNumberFormat="1" applyFont="1" applyFill="1" applyBorder="1" applyAlignment="1">
      <alignment horizontal="right" vertical="center"/>
    </xf>
    <xf numFmtId="0" fontId="0" fillId="0" borderId="3" xfId="0" applyBorder="1"/>
    <xf numFmtId="0" fontId="10" fillId="3" borderId="1" xfId="0" applyFont="1" applyFill="1" applyBorder="1" applyAlignment="1">
      <alignment horizontal="center" vertical="center" wrapText="1"/>
    </xf>
    <xf numFmtId="0" fontId="3" fillId="8" borderId="0" xfId="0" applyFont="1" applyFill="1" applyAlignment="1">
      <alignment horizontal="left" vertical="center"/>
    </xf>
    <xf numFmtId="3" fontId="5" fillId="4" borderId="1"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3" fontId="5" fillId="0" borderId="1" xfId="0" applyNumberFormat="1" applyFont="1" applyBorder="1" applyAlignment="1">
      <alignment horizontal="right" vertical="center"/>
    </xf>
    <xf numFmtId="0" fontId="7" fillId="6" borderId="1" xfId="0" applyFont="1" applyFill="1" applyBorder="1" applyAlignment="1">
      <alignment horizontal="left" vertical="center"/>
    </xf>
    <xf numFmtId="0" fontId="4" fillId="6" borderId="1" xfId="0" applyFont="1" applyFill="1" applyBorder="1" applyAlignment="1">
      <alignment horizontal="center" vertical="center"/>
    </xf>
    <xf numFmtId="3" fontId="4" fillId="0" borderId="1" xfId="0" applyNumberFormat="1" applyFont="1" applyBorder="1" applyAlignment="1">
      <alignment horizontal="right" vertical="center"/>
    </xf>
    <xf numFmtId="3" fontId="4" fillId="4" borderId="1" xfId="0" applyNumberFormat="1" applyFont="1" applyFill="1" applyBorder="1" applyAlignment="1">
      <alignment horizontal="right" vertical="center"/>
    </xf>
    <xf numFmtId="166" fontId="4" fillId="4" borderId="1" xfId="0" applyNumberFormat="1" applyFont="1" applyFill="1" applyBorder="1" applyAlignment="1">
      <alignment horizontal="right" vertical="center"/>
    </xf>
    <xf numFmtId="166" fontId="4" fillId="0" borderId="1" xfId="0" applyNumberFormat="1" applyFont="1" applyBorder="1" applyAlignment="1">
      <alignment horizontal="right" vertical="center"/>
    </xf>
    <xf numFmtId="165" fontId="8" fillId="4" borderId="1" xfId="0" applyNumberFormat="1" applyFont="1" applyFill="1" applyBorder="1" applyAlignment="1">
      <alignment horizontal="right" vertical="center"/>
    </xf>
    <xf numFmtId="165" fontId="4" fillId="4" borderId="1" xfId="0" applyNumberFormat="1" applyFont="1" applyFill="1" applyBorder="1" applyAlignment="1">
      <alignment horizontal="right" vertical="center"/>
    </xf>
    <xf numFmtId="167" fontId="5" fillId="0" borderId="1" xfId="0" applyNumberFormat="1" applyFont="1" applyBorder="1" applyAlignment="1">
      <alignment horizontal="right" vertical="center"/>
    </xf>
    <xf numFmtId="9" fontId="5" fillId="0" borderId="1" xfId="0" applyNumberFormat="1" applyFont="1" applyBorder="1" applyAlignment="1">
      <alignment horizontal="right" vertical="center"/>
    </xf>
    <xf numFmtId="0" fontId="4" fillId="7"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xf>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49" fontId="17" fillId="4" borderId="1" xfId="0" applyNumberFormat="1" applyFont="1" applyFill="1" applyBorder="1" applyAlignment="1">
      <alignment horizontal="left" vertical="center"/>
    </xf>
    <xf numFmtId="0" fontId="19" fillId="5"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49" fontId="20" fillId="4" borderId="1" xfId="0" applyNumberFormat="1" applyFont="1" applyFill="1" applyBorder="1" applyAlignment="1">
      <alignment horizontal="left" vertical="center"/>
    </xf>
    <xf numFmtId="168" fontId="21" fillId="10" borderId="0" xfId="0" applyNumberFormat="1" applyFont="1" applyFill="1" applyAlignment="1">
      <alignment horizontal="center" vertical="center"/>
    </xf>
    <xf numFmtId="49" fontId="17" fillId="0" borderId="0" xfId="0" applyNumberFormat="1" applyFont="1" applyAlignment="1">
      <alignment horizontal="center" vertical="center"/>
    </xf>
    <xf numFmtId="49" fontId="17" fillId="0" borderId="0" xfId="0" applyNumberFormat="1" applyFont="1" applyAlignment="1">
      <alignment horizontal="left" vertical="center"/>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9" fillId="0" borderId="1" xfId="0" applyFont="1" applyBorder="1" applyAlignment="1">
      <alignment horizontal="left" vertical="center" wrapText="1"/>
    </xf>
    <xf numFmtId="0" fontId="7" fillId="11" borderId="1" xfId="0" applyFont="1" applyFill="1" applyBorder="1" applyAlignment="1">
      <alignment horizontal="left" vertical="center" wrapText="1"/>
    </xf>
    <xf numFmtId="165" fontId="17" fillId="11" borderId="1" xfId="0" applyNumberFormat="1" applyFont="1" applyFill="1" applyBorder="1" applyAlignment="1">
      <alignment horizontal="right" vertical="center"/>
    </xf>
    <xf numFmtId="0" fontId="7" fillId="11"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165" fontId="20" fillId="7" borderId="1" xfId="0" applyNumberFormat="1" applyFont="1" applyFill="1" applyBorder="1" applyAlignment="1">
      <alignment horizontal="right" vertical="center"/>
    </xf>
    <xf numFmtId="0" fontId="7" fillId="7"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165" fontId="17" fillId="6" borderId="1" xfId="0" applyNumberFormat="1" applyFont="1" applyFill="1" applyBorder="1" applyAlignment="1">
      <alignment horizontal="right" vertical="center"/>
    </xf>
    <xf numFmtId="0" fontId="7" fillId="6"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165" fontId="7" fillId="12" borderId="1" xfId="0" applyNumberFormat="1" applyFont="1" applyFill="1" applyBorder="1" applyAlignment="1">
      <alignment horizontal="right" vertical="center"/>
    </xf>
    <xf numFmtId="0" fontId="7" fillId="12" borderId="1" xfId="0" applyFont="1" applyFill="1" applyBorder="1" applyAlignment="1">
      <alignment horizontal="center" vertical="center" wrapText="1"/>
    </xf>
    <xf numFmtId="0" fontId="19" fillId="12" borderId="1" xfId="0" applyFont="1" applyFill="1" applyBorder="1" applyAlignment="1">
      <alignment horizontal="left" vertical="center" wrapText="1"/>
    </xf>
    <xf numFmtId="165" fontId="17" fillId="0" borderId="1" xfId="0" applyNumberFormat="1" applyFont="1" applyBorder="1" applyAlignment="1">
      <alignment horizontal="right" vertical="center"/>
    </xf>
    <xf numFmtId="165" fontId="20" fillId="0" borderId="1" xfId="0" applyNumberFormat="1" applyFont="1" applyBorder="1" applyAlignment="1">
      <alignment horizontal="right" vertical="center"/>
    </xf>
    <xf numFmtId="165" fontId="17" fillId="7" borderId="1" xfId="0" applyNumberFormat="1" applyFont="1" applyFill="1" applyBorder="1" applyAlignment="1">
      <alignment horizontal="right" vertical="center"/>
    </xf>
    <xf numFmtId="0" fontId="19" fillId="7" borderId="1" xfId="0" applyFont="1" applyFill="1" applyBorder="1" applyAlignment="1">
      <alignment horizontal="left" vertical="center" wrapText="1"/>
    </xf>
    <xf numFmtId="165" fontId="17" fillId="4" borderId="1" xfId="0" applyNumberFormat="1" applyFont="1" applyFill="1" applyBorder="1" applyAlignment="1">
      <alignment horizontal="right" vertical="center"/>
    </xf>
    <xf numFmtId="165" fontId="20" fillId="4" borderId="1" xfId="0" applyNumberFormat="1" applyFont="1" applyFill="1" applyBorder="1" applyAlignment="1">
      <alignment horizontal="right" vertical="center"/>
    </xf>
    <xf numFmtId="0" fontId="22" fillId="0" borderId="1" xfId="0" applyFont="1" applyBorder="1" applyAlignment="1">
      <alignment horizontal="left" vertical="center" wrapText="1"/>
    </xf>
    <xf numFmtId="0" fontId="23" fillId="9" borderId="0" xfId="0" applyFont="1" applyFill="1" applyAlignment="1">
      <alignment horizontal="left" vertical="center" wrapText="1"/>
    </xf>
    <xf numFmtId="0" fontId="12" fillId="0" borderId="0" xfId="0" applyFont="1" applyAlignment="1">
      <alignment horizontal="left" vertical="center" wrapText="1"/>
    </xf>
    <xf numFmtId="0" fontId="24" fillId="0" borderId="0" xfId="0" applyFont="1" applyAlignment="1">
      <alignment horizontal="left" wrapText="1"/>
    </xf>
    <xf numFmtId="164" fontId="5" fillId="4" borderId="1" xfId="0" applyNumberFormat="1" applyFont="1" applyFill="1" applyBorder="1" applyAlignment="1">
      <alignment horizontal="right" vertical="center"/>
    </xf>
    <xf numFmtId="2" fontId="21" fillId="10" borderId="1" xfId="0" applyNumberFormat="1" applyFont="1" applyFill="1" applyBorder="1" applyAlignment="1">
      <alignment horizontal="right" vertical="center"/>
    </xf>
    <xf numFmtId="0" fontId="17" fillId="9" borderId="1" xfId="0" applyFont="1" applyFill="1" applyBorder="1" applyAlignment="1">
      <alignment horizontal="left" vertical="center" wrapText="1"/>
    </xf>
    <xf numFmtId="164" fontId="5" fillId="9" borderId="1" xfId="0" applyNumberFormat="1" applyFont="1" applyFill="1" applyBorder="1" applyAlignment="1">
      <alignment horizontal="right" vertical="center"/>
    </xf>
    <xf numFmtId="165" fontId="17" fillId="9" borderId="1" xfId="0" applyNumberFormat="1" applyFont="1" applyFill="1" applyBorder="1" applyAlignment="1">
      <alignment horizontal="right" vertical="center"/>
    </xf>
    <xf numFmtId="49" fontId="20" fillId="6" borderId="1" xfId="0" applyNumberFormat="1" applyFont="1" applyFill="1" applyBorder="1" applyAlignment="1">
      <alignment horizontal="left" vertical="center"/>
    </xf>
    <xf numFmtId="165" fontId="20" fillId="6" borderId="2" xfId="0" applyNumberFormat="1" applyFont="1" applyFill="1" applyBorder="1" applyAlignment="1">
      <alignment horizontal="right" vertical="center"/>
    </xf>
    <xf numFmtId="165" fontId="20" fillId="6" borderId="1" xfId="0" applyNumberFormat="1" applyFont="1" applyFill="1" applyBorder="1" applyAlignment="1">
      <alignment horizontal="right" vertical="center"/>
    </xf>
    <xf numFmtId="165" fontId="25" fillId="5" borderId="1" xfId="0" applyNumberFormat="1" applyFont="1" applyFill="1" applyBorder="1" applyAlignment="1">
      <alignment horizontal="right" vertical="center"/>
    </xf>
    <xf numFmtId="0" fontId="4" fillId="5" borderId="1" xfId="0" applyFont="1" applyFill="1" applyBorder="1" applyAlignment="1">
      <alignment horizontal="center" vertical="center" wrapText="1"/>
    </xf>
    <xf numFmtId="0" fontId="19" fillId="5" borderId="2" xfId="0" applyFont="1" applyFill="1" applyBorder="1" applyAlignment="1">
      <alignment horizontal="left" vertical="center" wrapText="1"/>
    </xf>
    <xf numFmtId="166" fontId="5" fillId="4" borderId="1" xfId="0" applyNumberFormat="1" applyFont="1" applyFill="1" applyBorder="1" applyAlignment="1">
      <alignment horizontal="right" vertical="center"/>
    </xf>
    <xf numFmtId="165" fontId="7" fillId="5" borderId="1" xfId="0" applyNumberFormat="1" applyFont="1" applyFill="1" applyBorder="1" applyAlignment="1">
      <alignment horizontal="right" vertical="center"/>
    </xf>
    <xf numFmtId="166" fontId="5" fillId="5" borderId="1" xfId="0" applyNumberFormat="1" applyFont="1" applyFill="1" applyBorder="1" applyAlignment="1">
      <alignment horizontal="right" vertical="center"/>
    </xf>
    <xf numFmtId="2" fontId="4" fillId="5" borderId="1" xfId="0" applyNumberFormat="1" applyFont="1" applyFill="1" applyBorder="1" applyAlignment="1">
      <alignment horizontal="right" vertical="center"/>
    </xf>
    <xf numFmtId="0" fontId="4" fillId="6" borderId="1" xfId="0" applyFont="1" applyFill="1" applyBorder="1" applyAlignment="1">
      <alignment horizontal="center" vertical="center" wrapText="1"/>
    </xf>
    <xf numFmtId="0" fontId="19" fillId="6" borderId="2" xfId="0" applyFont="1" applyFill="1" applyBorder="1" applyAlignment="1">
      <alignment horizontal="left" vertical="center" wrapText="1"/>
    </xf>
    <xf numFmtId="165" fontId="7" fillId="7" borderId="1" xfId="0" applyNumberFormat="1" applyFont="1" applyFill="1" applyBorder="1"/>
    <xf numFmtId="0" fontId="4"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9" fillId="7" borderId="2" xfId="0" applyFont="1" applyFill="1" applyBorder="1" applyAlignment="1">
      <alignment horizontal="left" vertical="center" wrapText="1"/>
    </xf>
    <xf numFmtId="3" fontId="8" fillId="5" borderId="1" xfId="0" applyNumberFormat="1" applyFont="1" applyFill="1" applyBorder="1" applyAlignment="1">
      <alignment horizontal="right" vertical="center"/>
    </xf>
    <xf numFmtId="165" fontId="26" fillId="4" borderId="1" xfId="0" applyNumberFormat="1" applyFont="1" applyFill="1" applyBorder="1" applyAlignment="1">
      <alignment horizontal="right" vertical="center"/>
    </xf>
    <xf numFmtId="9" fontId="4" fillId="0" borderId="1" xfId="0" applyNumberFormat="1" applyFont="1" applyBorder="1" applyAlignment="1">
      <alignment horizontal="right" vertical="center"/>
    </xf>
    <xf numFmtId="165" fontId="27" fillId="0" borderId="0" xfId="0" applyNumberFormat="1" applyFont="1"/>
    <xf numFmtId="165" fontId="28" fillId="0" borderId="0" xfId="0" applyNumberFormat="1" applyFont="1"/>
    <xf numFmtId="0" fontId="29" fillId="7" borderId="1" xfId="0" applyFont="1" applyFill="1" applyBorder="1" applyAlignment="1">
      <alignment horizontal="left" vertical="center"/>
    </xf>
    <xf numFmtId="0" fontId="4" fillId="7" borderId="1" xfId="0" applyFont="1" applyFill="1" applyBorder="1" applyAlignment="1">
      <alignment horizontal="left" vertical="center"/>
    </xf>
    <xf numFmtId="9" fontId="4" fillId="6" borderId="1" xfId="0" applyNumberFormat="1" applyFont="1" applyFill="1" applyBorder="1" applyAlignment="1">
      <alignment horizontal="right" vertical="center"/>
    </xf>
    <xf numFmtId="165" fontId="30" fillId="0" borderId="1" xfId="0" applyNumberFormat="1" applyFont="1" applyBorder="1" applyAlignment="1">
      <alignment horizontal="right" vertical="center"/>
    </xf>
    <xf numFmtId="165" fontId="7" fillId="11" borderId="1" xfId="0" applyNumberFormat="1" applyFont="1" applyFill="1" applyBorder="1" applyAlignment="1">
      <alignment horizontal="right" vertical="center"/>
    </xf>
    <xf numFmtId="0" fontId="31" fillId="11" borderId="1" xfId="0" applyFont="1" applyFill="1" applyBorder="1" applyAlignment="1">
      <alignment horizontal="center" vertical="center"/>
    </xf>
    <xf numFmtId="0" fontId="16" fillId="7" borderId="1" xfId="0" applyFont="1" applyFill="1" applyBorder="1" applyAlignment="1">
      <alignment horizontal="center" vertical="center" wrapText="1"/>
    </xf>
    <xf numFmtId="170" fontId="5" fillId="4" borderId="1" xfId="0" applyNumberFormat="1" applyFont="1" applyFill="1" applyBorder="1" applyAlignment="1">
      <alignment horizontal="right" vertical="center"/>
    </xf>
    <xf numFmtId="170" fontId="5" fillId="5" borderId="1" xfId="0" applyNumberFormat="1" applyFont="1" applyFill="1" applyBorder="1" applyAlignment="1">
      <alignment horizontal="right" vertical="center"/>
    </xf>
    <xf numFmtId="0" fontId="19" fillId="4" borderId="1" xfId="0" applyFont="1" applyFill="1" applyBorder="1" applyAlignment="1">
      <alignment horizontal="right" vertical="center" wrapText="1"/>
    </xf>
    <xf numFmtId="0" fontId="19" fillId="5" borderId="1" xfId="0" applyFont="1" applyFill="1" applyBorder="1" applyAlignment="1">
      <alignment horizontal="right" vertical="center" wrapText="1"/>
    </xf>
    <xf numFmtId="166" fontId="4" fillId="5" borderId="1" xfId="0" applyNumberFormat="1" applyFont="1" applyFill="1" applyBorder="1" applyAlignment="1">
      <alignment horizontal="right" vertical="center"/>
    </xf>
    <xf numFmtId="165" fontId="16" fillId="7" borderId="1" xfId="0" applyNumberFormat="1" applyFont="1" applyFill="1" applyBorder="1" applyAlignment="1">
      <alignment horizontal="right" vertical="center"/>
    </xf>
    <xf numFmtId="164" fontId="5" fillId="5" borderId="1" xfId="0" applyNumberFormat="1" applyFont="1" applyFill="1" applyBorder="1" applyAlignment="1">
      <alignment horizontal="right" vertical="center"/>
    </xf>
    <xf numFmtId="0" fontId="18" fillId="9" borderId="1" xfId="0" applyFont="1" applyFill="1" applyBorder="1" applyAlignment="1">
      <alignment horizontal="left" vertical="center" wrapText="1"/>
    </xf>
    <xf numFmtId="0" fontId="5" fillId="9" borderId="1" xfId="0" applyFont="1" applyFill="1" applyBorder="1" applyAlignment="1">
      <alignment horizontal="right" vertical="center"/>
    </xf>
    <xf numFmtId="165" fontId="5" fillId="9" borderId="1" xfId="0" applyNumberFormat="1" applyFont="1" applyFill="1" applyBorder="1" applyAlignment="1">
      <alignment horizontal="right" vertical="center"/>
    </xf>
    <xf numFmtId="165" fontId="4" fillId="9" borderId="1" xfId="0" applyNumberFormat="1" applyFont="1" applyFill="1" applyBorder="1" applyAlignment="1">
      <alignment horizontal="right" vertical="center"/>
    </xf>
    <xf numFmtId="0" fontId="24" fillId="9" borderId="1" xfId="0" applyFont="1" applyFill="1" applyBorder="1" applyAlignment="1">
      <alignment horizontal="left" vertical="center" wrapText="1"/>
    </xf>
    <xf numFmtId="164" fontId="7" fillId="6" borderId="1" xfId="0" applyNumberFormat="1" applyFont="1" applyFill="1" applyBorder="1" applyAlignment="1">
      <alignment horizontal="right" vertical="center"/>
    </xf>
    <xf numFmtId="0" fontId="4" fillId="6" borderId="1" xfId="0" applyFont="1" applyFill="1" applyBorder="1" applyAlignment="1">
      <alignment horizontal="left" vertical="center" wrapText="1"/>
    </xf>
    <xf numFmtId="165" fontId="21" fillId="10" borderId="1" xfId="0" applyNumberFormat="1" applyFont="1" applyFill="1" applyBorder="1" applyAlignment="1">
      <alignment horizontal="right" vertical="center"/>
    </xf>
    <xf numFmtId="10" fontId="17" fillId="5" borderId="1" xfId="0" applyNumberFormat="1" applyFont="1" applyFill="1" applyBorder="1" applyAlignment="1">
      <alignment horizontal="right" vertical="center"/>
    </xf>
    <xf numFmtId="166" fontId="7" fillId="7" borderId="1" xfId="0" applyNumberFormat="1" applyFont="1" applyFill="1" applyBorder="1" applyAlignment="1">
      <alignment horizontal="right" vertical="center"/>
    </xf>
    <xf numFmtId="10" fontId="17" fillId="7" borderId="1" xfId="0" applyNumberFormat="1" applyFont="1" applyFill="1" applyBorder="1" applyAlignment="1">
      <alignment horizontal="right" vertical="center"/>
    </xf>
    <xf numFmtId="171" fontId="4" fillId="5" borderId="1" xfId="0" applyNumberFormat="1" applyFont="1" applyFill="1" applyBorder="1" applyAlignment="1">
      <alignment horizontal="right" vertical="center"/>
    </xf>
    <xf numFmtId="172" fontId="17" fillId="5" borderId="1" xfId="0" applyNumberFormat="1" applyFont="1" applyFill="1" applyBorder="1" applyAlignment="1">
      <alignment horizontal="right" vertical="center"/>
    </xf>
    <xf numFmtId="173" fontId="4" fillId="5" borderId="1" xfId="0" applyNumberFormat="1" applyFont="1" applyFill="1" applyBorder="1" applyAlignment="1">
      <alignment horizontal="right" vertical="center"/>
    </xf>
    <xf numFmtId="174" fontId="17" fillId="5" borderId="1" xfId="0" applyNumberFormat="1" applyFont="1" applyFill="1" applyBorder="1" applyAlignment="1">
      <alignment horizontal="right" vertical="center"/>
    </xf>
    <xf numFmtId="166" fontId="5" fillId="0" borderId="1" xfId="0" applyNumberFormat="1" applyFont="1" applyBorder="1" applyAlignment="1">
      <alignment horizontal="right" vertical="center"/>
    </xf>
    <xf numFmtId="175" fontId="5" fillId="0" borderId="1" xfId="0" applyNumberFormat="1" applyFont="1" applyBorder="1" applyAlignment="1">
      <alignment horizontal="right" vertical="center"/>
    </xf>
    <xf numFmtId="175" fontId="4" fillId="4" borderId="1" xfId="0" applyNumberFormat="1" applyFont="1" applyFill="1" applyBorder="1" applyAlignment="1">
      <alignment horizontal="center" vertical="center"/>
    </xf>
    <xf numFmtId="175" fontId="4" fillId="5" borderId="1" xfId="0" applyNumberFormat="1" applyFont="1" applyFill="1" applyBorder="1" applyAlignment="1">
      <alignment horizontal="center" vertical="center"/>
    </xf>
    <xf numFmtId="175" fontId="4" fillId="7" borderId="1" xfId="0" applyNumberFormat="1" applyFont="1" applyFill="1" applyBorder="1" applyAlignment="1">
      <alignment horizontal="center" vertical="center"/>
    </xf>
    <xf numFmtId="165" fontId="8" fillId="7" borderId="1" xfId="0" applyNumberFormat="1" applyFont="1" applyFill="1" applyBorder="1" applyAlignment="1">
      <alignment horizontal="right" vertical="center"/>
    </xf>
    <xf numFmtId="166" fontId="4" fillId="7" borderId="1" xfId="0" applyNumberFormat="1" applyFont="1" applyFill="1" applyBorder="1" applyAlignment="1">
      <alignment horizontal="right" vertical="center"/>
    </xf>
    <xf numFmtId="0" fontId="35" fillId="2" borderId="0" xfId="0" applyFont="1" applyFill="1" applyAlignment="1">
      <alignment horizontal="center" vertical="center" wrapText="1"/>
    </xf>
    <xf numFmtId="0" fontId="35" fillId="13" borderId="4" xfId="0" applyFont="1" applyFill="1" applyBorder="1" applyAlignment="1">
      <alignment horizontal="center" vertical="center" wrapText="1"/>
    </xf>
    <xf numFmtId="0" fontId="37" fillId="12" borderId="4" xfId="0" applyFont="1" applyFill="1" applyBorder="1" applyAlignment="1">
      <alignment horizontal="left" vertical="center" wrapText="1"/>
    </xf>
    <xf numFmtId="0" fontId="38" fillId="12" borderId="4"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40" fillId="12" borderId="4" xfId="0" applyFont="1" applyFill="1" applyBorder="1" applyAlignment="1">
      <alignment horizontal="left" vertical="center" wrapText="1"/>
    </xf>
    <xf numFmtId="0" fontId="0" fillId="12" borderId="4" xfId="0" applyFill="1" applyBorder="1"/>
    <xf numFmtId="0" fontId="43" fillId="14" borderId="4" xfId="0" applyFont="1" applyFill="1" applyBorder="1" applyAlignment="1">
      <alignment horizontal="center" vertical="center" wrapText="1"/>
    </xf>
    <xf numFmtId="0" fontId="44" fillId="14" borderId="4" xfId="0" applyFont="1" applyFill="1" applyBorder="1" applyAlignment="1">
      <alignment horizontal="left" vertical="center" wrapText="1"/>
    </xf>
    <xf numFmtId="0" fontId="38" fillId="14" borderId="4" xfId="0" applyFont="1" applyFill="1" applyBorder="1" applyAlignment="1">
      <alignment horizontal="left" vertical="center" wrapText="1"/>
    </xf>
    <xf numFmtId="0" fontId="45" fillId="14" borderId="4" xfId="0" applyFont="1" applyFill="1" applyBorder="1" applyAlignment="1">
      <alignment horizontal="left" vertical="center" wrapText="1"/>
    </xf>
    <xf numFmtId="0" fontId="46" fillId="4" borderId="0" xfId="0" applyFont="1" applyFill="1" applyAlignment="1">
      <alignment horizontal="center" vertical="center"/>
    </xf>
    <xf numFmtId="0" fontId="20" fillId="11" borderId="4" xfId="0" applyFont="1" applyFill="1" applyBorder="1" applyAlignment="1">
      <alignment horizontal="center" vertical="center" wrapText="1"/>
    </xf>
    <xf numFmtId="0" fontId="47" fillId="11" borderId="4" xfId="0" applyFont="1" applyFill="1" applyBorder="1" applyAlignment="1">
      <alignment horizontal="left" vertical="center" wrapText="1"/>
    </xf>
    <xf numFmtId="0" fontId="38" fillId="11" borderId="4" xfId="0" applyFont="1" applyFill="1" applyBorder="1" applyAlignment="1">
      <alignment horizontal="left" vertical="center" wrapText="1"/>
    </xf>
    <xf numFmtId="0" fontId="48" fillId="11" borderId="4" xfId="0" applyFont="1" applyFill="1" applyBorder="1" applyAlignment="1">
      <alignment horizontal="left" vertical="center" wrapText="1"/>
    </xf>
    <xf numFmtId="0" fontId="0" fillId="0" borderId="6" xfId="0" applyBorder="1"/>
    <xf numFmtId="0" fontId="0" fillId="0" borderId="7" xfId="0" applyBorder="1"/>
    <xf numFmtId="0" fontId="20" fillId="15" borderId="4" xfId="0" applyFont="1" applyFill="1" applyBorder="1" applyAlignment="1">
      <alignment horizontal="center" vertical="center" wrapText="1"/>
    </xf>
    <xf numFmtId="0" fontId="47" fillId="15" borderId="4" xfId="0" applyFont="1" applyFill="1" applyBorder="1" applyAlignment="1">
      <alignment horizontal="left" vertical="center" wrapText="1"/>
    </xf>
    <xf numFmtId="0" fontId="38" fillId="15" borderId="4" xfId="0" applyFont="1" applyFill="1" applyBorder="1" applyAlignment="1">
      <alignment horizontal="left" vertical="center" wrapText="1"/>
    </xf>
    <xf numFmtId="0" fontId="49" fillId="16" borderId="0" xfId="0" applyFont="1" applyFill="1" applyAlignment="1">
      <alignment horizontal="center" vertical="center"/>
    </xf>
    <xf numFmtId="49" fontId="42" fillId="16" borderId="4" xfId="0" applyNumberFormat="1" applyFont="1" applyFill="1" applyBorder="1" applyAlignment="1">
      <alignment horizontal="center" vertical="center" wrapText="1"/>
    </xf>
    <xf numFmtId="49" fontId="50" fillId="7" borderId="4" xfId="0" applyNumberFormat="1" applyFont="1" applyFill="1" applyBorder="1" applyAlignment="1">
      <alignment horizontal="left" vertical="center" wrapText="1"/>
    </xf>
    <xf numFmtId="0" fontId="38" fillId="7" borderId="5" xfId="0" applyFont="1" applyFill="1" applyBorder="1" applyAlignment="1">
      <alignment horizontal="left" vertical="center" wrapText="1"/>
    </xf>
    <xf numFmtId="49" fontId="42" fillId="16" borderId="5" xfId="0" applyNumberFormat="1" applyFont="1" applyFill="1" applyBorder="1" applyAlignment="1">
      <alignment horizontal="center" vertical="center" wrapText="1"/>
    </xf>
    <xf numFmtId="0" fontId="51" fillId="4" borderId="0" xfId="0" applyFont="1" applyFill="1" applyAlignment="1">
      <alignment horizontal="left" vertical="center" wrapText="1"/>
    </xf>
    <xf numFmtId="0" fontId="2" fillId="3" borderId="0" xfId="0" applyFont="1" applyFill="1" applyAlignment="1">
      <alignment horizontal="center" vertical="center" wrapText="1"/>
    </xf>
    <xf numFmtId="0" fontId="0" fillId="0" borderId="0" xfId="0"/>
    <xf numFmtId="0" fontId="4" fillId="5" borderId="2" xfId="0" applyFont="1" applyFill="1" applyBorder="1" applyAlignment="1">
      <alignment horizontal="left" vertical="center"/>
    </xf>
    <xf numFmtId="0" fontId="4" fillId="4" borderId="2" xfId="0" applyFont="1" applyFill="1" applyBorder="1" applyAlignment="1">
      <alignment horizontal="left" vertical="center"/>
    </xf>
    <xf numFmtId="0" fontId="4" fillId="7" borderId="2" xfId="0" applyFont="1" applyFill="1" applyBorder="1" applyAlignment="1">
      <alignment horizontal="left" vertical="center"/>
    </xf>
    <xf numFmtId="0" fontId="3" fillId="8" borderId="0" xfId="0" applyFont="1" applyFill="1" applyAlignment="1">
      <alignment horizontal="left" vertical="center"/>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center" wrapText="1"/>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10" fillId="2" borderId="0" xfId="0" applyFont="1" applyFill="1" applyAlignment="1">
      <alignment horizontal="center" vertical="center"/>
    </xf>
    <xf numFmtId="0" fontId="4" fillId="4"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19" fillId="6" borderId="2" xfId="0" applyFont="1" applyFill="1" applyBorder="1" applyAlignment="1">
      <alignment horizontal="left" vertical="center" wrapText="1"/>
    </xf>
    <xf numFmtId="165" fontId="7" fillId="7" borderId="2" xfId="0" applyNumberFormat="1" applyFont="1" applyFill="1" applyBorder="1" applyAlignment="1">
      <alignment horizontal="right" vertical="center"/>
    </xf>
    <xf numFmtId="165" fontId="8" fillId="4" borderId="2" xfId="0" applyNumberFormat="1" applyFont="1" applyFill="1" applyBorder="1" applyAlignment="1">
      <alignment horizontal="right" vertical="center"/>
    </xf>
    <xf numFmtId="165" fontId="8" fillId="5" borderId="2" xfId="0" applyNumberFormat="1" applyFont="1" applyFill="1" applyBorder="1" applyAlignment="1">
      <alignment horizontal="right" vertical="center"/>
    </xf>
    <xf numFmtId="165" fontId="4" fillId="4" borderId="2" xfId="0" applyNumberFormat="1" applyFont="1" applyFill="1" applyBorder="1" applyAlignment="1">
      <alignment horizontal="right" vertical="center"/>
    </xf>
    <xf numFmtId="165" fontId="4" fillId="5" borderId="2" xfId="0" applyNumberFormat="1" applyFont="1" applyFill="1" applyBorder="1" applyAlignment="1">
      <alignment horizontal="right" vertical="center"/>
    </xf>
    <xf numFmtId="165" fontId="4" fillId="7" borderId="2" xfId="0" applyNumberFormat="1" applyFont="1" applyFill="1" applyBorder="1" applyAlignment="1">
      <alignment horizontal="right" vertical="center"/>
    </xf>
    <xf numFmtId="0" fontId="24" fillId="0" borderId="0" xfId="0" applyFont="1" applyAlignment="1">
      <alignment horizontal="left" wrapText="1"/>
    </xf>
    <xf numFmtId="0" fontId="9" fillId="0" borderId="0" xfId="0" applyFont="1" applyAlignment="1">
      <alignment horizontal="left" wrapText="1"/>
    </xf>
    <xf numFmtId="0" fontId="4" fillId="6" borderId="2" xfId="0" applyFont="1" applyFill="1" applyBorder="1" applyAlignment="1">
      <alignment horizontal="left" vertical="center"/>
    </xf>
    <xf numFmtId="169" fontId="5" fillId="4" borderId="2" xfId="0" applyNumberFormat="1" applyFont="1" applyFill="1" applyBorder="1" applyAlignment="1">
      <alignment horizontal="right" vertical="center"/>
    </xf>
    <xf numFmtId="165" fontId="29" fillId="7" borderId="2" xfId="0" applyNumberFormat="1" applyFont="1" applyFill="1" applyBorder="1" applyAlignment="1">
      <alignment horizontal="right" vertical="center"/>
    </xf>
    <xf numFmtId="0" fontId="32" fillId="2" borderId="0" xfId="0" applyFont="1" applyFill="1" applyAlignment="1">
      <alignment horizontal="center" vertical="center"/>
    </xf>
    <xf numFmtId="0" fontId="33" fillId="2" borderId="0" xfId="0" applyFont="1" applyFill="1" applyAlignment="1">
      <alignment horizontal="center" vertical="center"/>
    </xf>
    <xf numFmtId="0" fontId="34" fillId="10" borderId="0" xfId="0" applyFont="1" applyFill="1" applyAlignment="1">
      <alignment horizontal="left" vertical="center" wrapText="1"/>
    </xf>
    <xf numFmtId="0" fontId="36" fillId="13" borderId="0" xfId="0" applyFont="1" applyFill="1" applyAlignment="1">
      <alignment horizontal="center" vertical="center"/>
    </xf>
    <xf numFmtId="0" fontId="41" fillId="12" borderId="5" xfId="0" applyFont="1" applyFill="1" applyBorder="1" applyAlignment="1">
      <alignment horizontal="left" vertical="center" wrapText="1"/>
    </xf>
    <xf numFmtId="0" fontId="42" fillId="13" borderId="4" xfId="0" applyFont="1" applyFill="1" applyBorder="1" applyAlignment="1">
      <alignment horizontal="center" vertical="center" wrapText="1"/>
    </xf>
    <xf numFmtId="0" fontId="46" fillId="4" borderId="0" xfId="0" applyFont="1" applyFill="1" applyAlignment="1">
      <alignment horizontal="center" vertical="center"/>
    </xf>
    <xf numFmtId="0" fontId="20" fillId="11" borderId="4" xfId="0" applyFont="1" applyFill="1" applyBorder="1" applyAlignment="1">
      <alignment horizontal="center" vertical="center" wrapText="1"/>
    </xf>
    <xf numFmtId="0" fontId="38" fillId="11" borderId="4" xfId="0" applyFont="1" applyFill="1" applyBorder="1" applyAlignment="1">
      <alignment horizontal="left" vertical="center" wrapText="1"/>
    </xf>
    <xf numFmtId="0" fontId="0" fillId="0" borderId="7" xfId="0" applyBorder="1"/>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2E75B6"/>
      <rgbColor rgb="FFBFBFBF"/>
      <rgbColor rgb="FF808080"/>
      <rgbColor rgb="FF9999FF"/>
      <rgbColor rgb="FF993366"/>
      <rgbColor rgb="FFFFFEE7"/>
      <rgbColor rgb="FFDEEAF1"/>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DAE8F4"/>
      <rgbColor rgb="FFE2EFDA"/>
      <rgbColor rgb="FFFFF2CC"/>
      <rgbColor rgb="FFF2F2F2"/>
      <rgbColor rgb="FFFCE4D6"/>
      <rgbColor rgb="FFCC99FF"/>
      <rgbColor rgb="FFFFE2CC"/>
      <rgbColor rgb="FF4472C4"/>
      <rgbColor rgb="FF33CCCC"/>
      <rgbColor rgb="FF99CC00"/>
      <rgbColor rgb="FFFFCC00"/>
      <rgbColor rgb="FFFF9900"/>
      <rgbColor rgb="FFFF6600"/>
      <rgbColor rgb="FF595959"/>
      <rgbColor rgb="FF969696"/>
      <rgbColor rgb="FF1F3864"/>
      <rgbColor rgb="FF339966"/>
      <rgbColor rgb="FF003300"/>
      <rgbColor rgb="FF333300"/>
      <rgbColor rgb="FF7F3F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zoomScaleNormal="100" workbookViewId="0"/>
  </sheetViews>
  <sheetFormatPr baseColWidth="10" defaultColWidth="8.7109375" defaultRowHeight="15" customHeight="1" x14ac:dyDescent="0.25"/>
  <cols>
    <col min="1" max="1" width="32" customWidth="1"/>
    <col min="2" max="4" width="22" customWidth="1"/>
  </cols>
  <sheetData>
    <row r="1" spans="1:4" ht="13.5" customHeight="1" x14ac:dyDescent="0.25">
      <c r="A1" s="1" t="s">
        <v>0</v>
      </c>
      <c r="B1" s="1"/>
      <c r="C1" s="1"/>
      <c r="D1" s="1"/>
    </row>
    <row r="2" spans="1:4" ht="39.75" customHeight="1" x14ac:dyDescent="0.25">
      <c r="A2" s="190" t="s">
        <v>1</v>
      </c>
      <c r="B2" s="190"/>
      <c r="C2" s="190"/>
      <c r="D2" s="190"/>
    </row>
    <row r="3" spans="1:4" ht="18" customHeight="1" x14ac:dyDescent="0.25">
      <c r="A3" s="15" t="s">
        <v>2</v>
      </c>
      <c r="B3" s="15" t="s">
        <v>3</v>
      </c>
      <c r="C3" s="15" t="s">
        <v>4</v>
      </c>
      <c r="D3" s="15" t="s">
        <v>5</v>
      </c>
    </row>
    <row r="4" spans="1:4" ht="15" customHeight="1" x14ac:dyDescent="0.25">
      <c r="A4" s="16" t="s">
        <v>6</v>
      </c>
      <c r="B4" s="17" t="s">
        <v>3</v>
      </c>
      <c r="C4" s="17" t="s">
        <v>4</v>
      </c>
      <c r="D4" s="17" t="s">
        <v>7</v>
      </c>
    </row>
    <row r="5" spans="1:4" ht="15" customHeight="1" x14ac:dyDescent="0.25">
      <c r="A5" s="18" t="s">
        <v>8</v>
      </c>
      <c r="B5" s="19" t="s">
        <v>9</v>
      </c>
      <c r="C5" s="19" t="s">
        <v>9</v>
      </c>
      <c r="D5" s="19" t="s">
        <v>7</v>
      </c>
    </row>
    <row r="6" spans="1:4" ht="15" customHeight="1" x14ac:dyDescent="0.25">
      <c r="A6" s="16" t="s">
        <v>10</v>
      </c>
      <c r="B6" s="17" t="s">
        <v>11</v>
      </c>
      <c r="C6" s="17" t="s">
        <v>12</v>
      </c>
      <c r="D6" s="17" t="s">
        <v>7</v>
      </c>
    </row>
    <row r="7" spans="1:4" ht="15" customHeight="1" x14ac:dyDescent="0.25">
      <c r="A7" s="18" t="s">
        <v>13</v>
      </c>
      <c r="B7" s="20">
        <v>120</v>
      </c>
      <c r="C7" s="20">
        <v>444</v>
      </c>
      <c r="D7" s="21">
        <f>B7+C7</f>
        <v>564</v>
      </c>
    </row>
    <row r="8" spans="1:4" ht="15" customHeight="1" x14ac:dyDescent="0.25">
      <c r="A8" s="16" t="s">
        <v>14</v>
      </c>
      <c r="B8" s="20">
        <v>160</v>
      </c>
      <c r="C8" s="20">
        <v>220</v>
      </c>
      <c r="D8" s="21">
        <f>B8+C8</f>
        <v>380</v>
      </c>
    </row>
    <row r="9" spans="1:4" ht="15" customHeight="1" x14ac:dyDescent="0.25">
      <c r="A9" s="18" t="s">
        <v>15</v>
      </c>
      <c r="B9" s="22">
        <v>460</v>
      </c>
      <c r="C9" s="22">
        <v>460</v>
      </c>
      <c r="D9" s="23" t="s">
        <v>16</v>
      </c>
    </row>
    <row r="10" spans="1:4" ht="15" customHeight="1" x14ac:dyDescent="0.25">
      <c r="A10" s="24" t="s">
        <v>17</v>
      </c>
      <c r="B10" s="25">
        <f>B7*B9</f>
        <v>55200</v>
      </c>
      <c r="C10" s="25">
        <f>C7*C9</f>
        <v>204240</v>
      </c>
      <c r="D10" s="26">
        <f>B10+C10</f>
        <v>259440</v>
      </c>
    </row>
    <row r="11" spans="1:4" ht="15" customHeight="1" x14ac:dyDescent="0.25">
      <c r="A11" s="18" t="s">
        <v>18</v>
      </c>
      <c r="B11" s="27">
        <f>Wertermittlung!C26</f>
        <v>108780</v>
      </c>
      <c r="C11" s="27">
        <f>Wertermittlung!E26</f>
        <v>482790.00000000006</v>
      </c>
      <c r="D11" s="26">
        <f>B11+C11</f>
        <v>591570</v>
      </c>
    </row>
    <row r="12" spans="1:4" ht="15" customHeight="1" x14ac:dyDescent="0.25">
      <c r="A12" s="24" t="s">
        <v>19</v>
      </c>
      <c r="B12" s="26">
        <f>B10+B11</f>
        <v>163980</v>
      </c>
      <c r="C12" s="26">
        <f>C10+C11</f>
        <v>687030</v>
      </c>
      <c r="D12" s="26">
        <f>B12+C12</f>
        <v>851010</v>
      </c>
    </row>
    <row r="13" spans="1:4" ht="15" customHeight="1" x14ac:dyDescent="0.25">
      <c r="A13" s="28" t="s">
        <v>20</v>
      </c>
      <c r="B13" s="29">
        <f>Marktwert!B21</f>
        <v>0</v>
      </c>
      <c r="C13" s="29">
        <f>Marktwert!D21</f>
        <v>0</v>
      </c>
      <c r="D13" s="29">
        <f>Marktwert!D28</f>
        <v>5200</v>
      </c>
    </row>
    <row r="14" spans="1:4" ht="15" customHeight="1" x14ac:dyDescent="0.25">
      <c r="A14" s="30" t="s">
        <v>21</v>
      </c>
      <c r="B14" s="27">
        <f>Wertermittlung!C30</f>
        <v>151200</v>
      </c>
      <c r="C14" s="27">
        <f>Wertermittlung!E30</f>
        <v>641104.20000000007</v>
      </c>
      <c r="D14" s="26">
        <f>B13+C13</f>
        <v>0</v>
      </c>
    </row>
    <row r="15" spans="1:4" ht="30" customHeight="1" x14ac:dyDescent="0.25">
      <c r="A15" s="191"/>
      <c r="B15" s="191"/>
      <c r="C15" s="191"/>
      <c r="D15" s="191"/>
    </row>
    <row r="16" spans="1:4" ht="42.75" customHeight="1" x14ac:dyDescent="0.25">
      <c r="A16" s="31" t="s">
        <v>22</v>
      </c>
    </row>
    <row r="17" spans="1:4" ht="21.75" customHeight="1" x14ac:dyDescent="0.25">
      <c r="A17" s="191"/>
      <c r="B17" s="191"/>
      <c r="C17" s="191"/>
      <c r="D17" s="191"/>
    </row>
    <row r="18" spans="1:4" ht="15" customHeight="1" x14ac:dyDescent="0.25">
      <c r="A18" s="32" t="s">
        <v>23</v>
      </c>
      <c r="C18" s="191"/>
      <c r="D18" s="191"/>
    </row>
    <row r="19" spans="1:4" ht="15" customHeight="1" x14ac:dyDescent="0.25">
      <c r="A19" s="15" t="s">
        <v>2</v>
      </c>
      <c r="B19" s="15" t="s">
        <v>24</v>
      </c>
      <c r="C19" s="11" t="s">
        <v>25</v>
      </c>
      <c r="D19" s="11"/>
    </row>
    <row r="20" spans="1:4" ht="15" customHeight="1" x14ac:dyDescent="0.25">
      <c r="A20" s="18" t="s">
        <v>26</v>
      </c>
      <c r="B20" s="33">
        <f>D12</f>
        <v>851010</v>
      </c>
      <c r="C20" s="192" t="s">
        <v>27</v>
      </c>
      <c r="D20" s="192"/>
    </row>
    <row r="21" spans="1:4" ht="15" customHeight="1" x14ac:dyDescent="0.25">
      <c r="A21" s="16" t="s">
        <v>28</v>
      </c>
      <c r="B21" s="35">
        <v>400000</v>
      </c>
      <c r="C21" s="193" t="s">
        <v>29</v>
      </c>
      <c r="D21" s="193"/>
    </row>
    <row r="22" spans="1:4" ht="15" customHeight="1" x14ac:dyDescent="0.25">
      <c r="A22" s="18" t="s">
        <v>30</v>
      </c>
      <c r="B22" s="36">
        <v>1200000</v>
      </c>
      <c r="C22" s="192" t="s">
        <v>31</v>
      </c>
      <c r="D22" s="192"/>
    </row>
    <row r="23" spans="1:4" ht="15" customHeight="1" x14ac:dyDescent="0.25">
      <c r="A23" s="28" t="s">
        <v>32</v>
      </c>
      <c r="B23" s="37">
        <f>Schenkungssteuer!A40</f>
        <v>0</v>
      </c>
      <c r="C23" s="194" t="s">
        <v>33</v>
      </c>
      <c r="D23" s="194"/>
    </row>
    <row r="24" spans="1:4" ht="15" customHeight="1" x14ac:dyDescent="0.25">
      <c r="A24" s="30" t="s">
        <v>34</v>
      </c>
      <c r="B24" s="38">
        <f>Schenkungssteuer!A41</f>
        <v>0</v>
      </c>
      <c r="C24" s="34" t="s">
        <v>35</v>
      </c>
      <c r="D24" s="39"/>
    </row>
  </sheetData>
  <mergeCells count="10">
    <mergeCell ref="C19:D19"/>
    <mergeCell ref="C20:D20"/>
    <mergeCell ref="C21:D21"/>
    <mergeCell ref="C22:D22"/>
    <mergeCell ref="C23:D23"/>
    <mergeCell ref="A1:D1"/>
    <mergeCell ref="A2:D2"/>
    <mergeCell ref="A15:D15"/>
    <mergeCell ref="A17:D17"/>
    <mergeCell ref="C18:D18"/>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
  <sheetViews>
    <sheetView zoomScaleNormal="100" workbookViewId="0"/>
  </sheetViews>
  <sheetFormatPr baseColWidth="10" defaultColWidth="8.7109375" defaultRowHeight="15" customHeight="1" x14ac:dyDescent="0.25"/>
  <cols>
    <col min="1" max="1" width="35" customWidth="1"/>
    <col min="2" max="2" width="16" customWidth="1"/>
    <col min="3" max="3" width="18" customWidth="1"/>
    <col min="4" max="4" width="16" customWidth="1"/>
    <col min="5" max="5" width="18" customWidth="1"/>
  </cols>
  <sheetData>
    <row r="1" spans="1:5" ht="30" customHeight="1" x14ac:dyDescent="0.25">
      <c r="A1" s="14" t="s">
        <v>36</v>
      </c>
      <c r="B1" s="14"/>
      <c r="C1" s="14"/>
      <c r="D1" s="14"/>
      <c r="E1" s="14"/>
    </row>
    <row r="2" spans="1:5" ht="34.5" customHeight="1" x14ac:dyDescent="0.25">
      <c r="A2" s="40" t="s">
        <v>37</v>
      </c>
      <c r="B2" s="40" t="s">
        <v>38</v>
      </c>
      <c r="C2" s="40" t="s">
        <v>39</v>
      </c>
      <c r="D2" s="40" t="s">
        <v>38</v>
      </c>
      <c r="E2" s="40" t="s">
        <v>40</v>
      </c>
    </row>
    <row r="3" spans="1:5" ht="19.5" customHeight="1" x14ac:dyDescent="0.25">
      <c r="A3" s="195" t="s">
        <v>41</v>
      </c>
      <c r="B3" s="195"/>
      <c r="C3" s="195"/>
      <c r="D3" s="195"/>
      <c r="E3" s="195"/>
    </row>
    <row r="4" spans="1:5" ht="15" customHeight="1" x14ac:dyDescent="0.25">
      <c r="A4" s="16" t="s">
        <v>42</v>
      </c>
      <c r="B4" s="17" t="s">
        <v>43</v>
      </c>
      <c r="C4" s="42">
        <v>120</v>
      </c>
      <c r="D4" s="17" t="s">
        <v>43</v>
      </c>
      <c r="E4" s="42">
        <v>444</v>
      </c>
    </row>
    <row r="5" spans="1:5" ht="15" customHeight="1" x14ac:dyDescent="0.25">
      <c r="A5" s="43" t="s">
        <v>44</v>
      </c>
      <c r="B5" s="44" t="s">
        <v>45</v>
      </c>
      <c r="C5" s="45">
        <v>470</v>
      </c>
      <c r="D5" s="44" t="s">
        <v>45</v>
      </c>
      <c r="E5" s="45">
        <v>470</v>
      </c>
    </row>
    <row r="6" spans="1:5" ht="15" customHeight="1" x14ac:dyDescent="0.25">
      <c r="A6" s="46" t="s">
        <v>46</v>
      </c>
      <c r="B6" s="47" t="s">
        <v>47</v>
      </c>
      <c r="C6" s="26">
        <f>C4*C5</f>
        <v>56400</v>
      </c>
      <c r="D6" s="47" t="s">
        <v>47</v>
      </c>
      <c r="E6" s="26">
        <f>E4*E5</f>
        <v>208680</v>
      </c>
    </row>
    <row r="8" spans="1:5" ht="19.5" customHeight="1" x14ac:dyDescent="0.25">
      <c r="A8" s="195" t="s">
        <v>48</v>
      </c>
      <c r="B8" s="195"/>
      <c r="C8" s="195"/>
      <c r="D8" s="195"/>
      <c r="E8" s="195"/>
    </row>
    <row r="9" spans="1:5" ht="15" customHeight="1" x14ac:dyDescent="0.25">
      <c r="A9" s="16" t="s">
        <v>49</v>
      </c>
      <c r="B9" s="17" t="s">
        <v>43</v>
      </c>
      <c r="C9" s="42">
        <v>160</v>
      </c>
      <c r="D9" s="17" t="s">
        <v>43</v>
      </c>
      <c r="E9" s="42">
        <v>220</v>
      </c>
    </row>
    <row r="10" spans="1:5" ht="15" customHeight="1" x14ac:dyDescent="0.25">
      <c r="A10" s="43" t="s">
        <v>50</v>
      </c>
      <c r="B10" s="44" t="s">
        <v>45</v>
      </c>
      <c r="C10" s="45">
        <v>1400</v>
      </c>
      <c r="D10" s="44" t="s">
        <v>45</v>
      </c>
      <c r="E10" s="45">
        <v>2100</v>
      </c>
    </row>
    <row r="11" spans="1:5" ht="15" customHeight="1" x14ac:dyDescent="0.25">
      <c r="A11" s="16" t="s">
        <v>10</v>
      </c>
      <c r="B11" s="17" t="s">
        <v>51</v>
      </c>
      <c r="C11" s="42">
        <v>1982</v>
      </c>
      <c r="D11" s="17" t="s">
        <v>51</v>
      </c>
      <c r="E11" s="42">
        <v>2021</v>
      </c>
    </row>
    <row r="12" spans="1:5" ht="15" customHeight="1" x14ac:dyDescent="0.25">
      <c r="A12" s="43" t="s">
        <v>52</v>
      </c>
      <c r="B12" s="44" t="s">
        <v>51</v>
      </c>
      <c r="C12" s="45">
        <v>2025</v>
      </c>
      <c r="D12" s="44" t="s">
        <v>51</v>
      </c>
      <c r="E12" s="48">
        <f>C12</f>
        <v>2025</v>
      </c>
    </row>
    <row r="13" spans="1:5" ht="15" customHeight="1" x14ac:dyDescent="0.25">
      <c r="A13" s="16" t="s">
        <v>53</v>
      </c>
      <c r="B13" s="17" t="s">
        <v>54</v>
      </c>
      <c r="C13" s="49">
        <f>C12-C11</f>
        <v>43</v>
      </c>
      <c r="D13" s="17" t="s">
        <v>54</v>
      </c>
      <c r="E13" s="49">
        <f>E12-E11</f>
        <v>4</v>
      </c>
    </row>
    <row r="14" spans="1:5" ht="15" customHeight="1" x14ac:dyDescent="0.25">
      <c r="A14" s="43" t="s">
        <v>55</v>
      </c>
      <c r="B14" s="44" t="s">
        <v>54</v>
      </c>
      <c r="C14" s="45">
        <v>80</v>
      </c>
      <c r="D14" s="44" t="s">
        <v>54</v>
      </c>
      <c r="E14" s="45">
        <v>80</v>
      </c>
    </row>
    <row r="15" spans="1:5" ht="15" customHeight="1" x14ac:dyDescent="0.25">
      <c r="A15" s="16" t="s">
        <v>56</v>
      </c>
      <c r="B15" s="17" t="s">
        <v>57</v>
      </c>
      <c r="C15" s="50">
        <f>MIN(C13/C14, 0.7)</f>
        <v>0.53749999999999998</v>
      </c>
      <c r="D15" s="17" t="s">
        <v>57</v>
      </c>
      <c r="E15" s="50">
        <f>MIN(E13/E14, 0.7)</f>
        <v>0.05</v>
      </c>
    </row>
    <row r="16" spans="1:5" ht="15" customHeight="1" x14ac:dyDescent="0.25">
      <c r="A16" s="43" t="s">
        <v>58</v>
      </c>
      <c r="B16" s="44" t="s">
        <v>57</v>
      </c>
      <c r="C16" s="51">
        <f>1-C15</f>
        <v>0.46250000000000002</v>
      </c>
      <c r="D16" s="44" t="s">
        <v>57</v>
      </c>
      <c r="E16" s="51">
        <f>1-E15</f>
        <v>0.95</v>
      </c>
    </row>
    <row r="17" spans="1:5" ht="15" customHeight="1" x14ac:dyDescent="0.25">
      <c r="A17" s="46" t="s">
        <v>59</v>
      </c>
      <c r="B17" s="47" t="s">
        <v>47</v>
      </c>
      <c r="C17" s="26">
        <f>C9*C10*C16</f>
        <v>103600</v>
      </c>
      <c r="D17" s="47" t="s">
        <v>47</v>
      </c>
      <c r="E17" s="26">
        <f>E9*E10*E16</f>
        <v>438900</v>
      </c>
    </row>
    <row r="19" spans="1:5" ht="19.5" customHeight="1" x14ac:dyDescent="0.25">
      <c r="A19" s="195" t="s">
        <v>60</v>
      </c>
      <c r="B19" s="195"/>
      <c r="C19" s="195"/>
      <c r="D19" s="195"/>
      <c r="E19" s="195"/>
    </row>
    <row r="20" spans="1:5" ht="15" customHeight="1" x14ac:dyDescent="0.25">
      <c r="A20" s="16" t="s">
        <v>61</v>
      </c>
      <c r="B20" s="17" t="s">
        <v>47</v>
      </c>
      <c r="C20" s="52">
        <f>C6</f>
        <v>56400</v>
      </c>
      <c r="D20" s="17" t="s">
        <v>47</v>
      </c>
      <c r="E20" s="52">
        <f>E6</f>
        <v>208680</v>
      </c>
    </row>
    <row r="21" spans="1:5" ht="15" customHeight="1" x14ac:dyDescent="0.25">
      <c r="A21" s="43" t="s">
        <v>62</v>
      </c>
      <c r="B21" s="44" t="s">
        <v>47</v>
      </c>
      <c r="C21" s="27">
        <f>C17</f>
        <v>103600</v>
      </c>
      <c r="D21" s="44" t="s">
        <v>47</v>
      </c>
      <c r="E21" s="27">
        <f>E17</f>
        <v>438900</v>
      </c>
    </row>
    <row r="22" spans="1:5" ht="15" customHeight="1" x14ac:dyDescent="0.25">
      <c r="A22" s="16" t="s">
        <v>63</v>
      </c>
      <c r="B22" s="17" t="s">
        <v>47</v>
      </c>
      <c r="C22" s="53">
        <f>C20+C21</f>
        <v>160000</v>
      </c>
      <c r="D22" s="17" t="s">
        <v>47</v>
      </c>
      <c r="E22" s="53">
        <f>E20+E21</f>
        <v>647580</v>
      </c>
    </row>
    <row r="23" spans="1:5" ht="15" customHeight="1" x14ac:dyDescent="0.25">
      <c r="A23" s="43" t="s">
        <v>64</v>
      </c>
      <c r="B23" s="44" t="s">
        <v>65</v>
      </c>
      <c r="C23" s="54">
        <v>1.05</v>
      </c>
      <c r="D23" s="44" t="s">
        <v>65</v>
      </c>
      <c r="E23" s="54">
        <v>1.1000000000000001</v>
      </c>
    </row>
    <row r="24" spans="1:5" ht="15" customHeight="1" x14ac:dyDescent="0.25">
      <c r="A24" s="46" t="s">
        <v>27</v>
      </c>
      <c r="B24" s="47" t="s">
        <v>47</v>
      </c>
      <c r="C24" s="26">
        <f>C22*C23</f>
        <v>168000</v>
      </c>
      <c r="D24" s="47" t="s">
        <v>47</v>
      </c>
      <c r="E24" s="26">
        <f>E22*E23</f>
        <v>712338</v>
      </c>
    </row>
    <row r="26" spans="1:5" ht="15" customHeight="1" x14ac:dyDescent="0.25">
      <c r="A26" s="16" t="s">
        <v>66</v>
      </c>
      <c r="B26" s="17" t="s">
        <v>47</v>
      </c>
      <c r="C26" s="52">
        <f>C21*C23</f>
        <v>108780</v>
      </c>
      <c r="D26" s="17" t="s">
        <v>47</v>
      </c>
      <c r="E26" s="52">
        <f>E21*E23</f>
        <v>482790.00000000006</v>
      </c>
    </row>
    <row r="28" spans="1:5" ht="15" customHeight="1" x14ac:dyDescent="0.25">
      <c r="A28" s="43" t="s">
        <v>67</v>
      </c>
      <c r="B28" s="44" t="s">
        <v>57</v>
      </c>
      <c r="C28" s="55">
        <v>0.9</v>
      </c>
      <c r="D28" s="44" t="s">
        <v>57</v>
      </c>
      <c r="E28" s="55">
        <v>0.9</v>
      </c>
    </row>
    <row r="30" spans="1:5" ht="15" customHeight="1" x14ac:dyDescent="0.25">
      <c r="A30" s="28" t="s">
        <v>68</v>
      </c>
      <c r="B30" s="56" t="s">
        <v>47</v>
      </c>
      <c r="C30" s="37">
        <f>C24*C28</f>
        <v>151200</v>
      </c>
      <c r="D30" s="56" t="s">
        <v>47</v>
      </c>
      <c r="E30" s="37">
        <f>E24*E28</f>
        <v>641104.20000000007</v>
      </c>
    </row>
    <row r="32" spans="1:5" ht="18.75" customHeight="1" x14ac:dyDescent="0.25">
      <c r="A32" s="196" t="s">
        <v>69</v>
      </c>
      <c r="B32" s="196"/>
      <c r="C32" s="196"/>
      <c r="D32" s="196"/>
      <c r="E32" s="196"/>
    </row>
    <row r="33" spans="1:5" ht="15" customHeight="1" x14ac:dyDescent="0.25">
      <c r="A33" s="197" t="s">
        <v>70</v>
      </c>
      <c r="B33" s="197"/>
      <c r="C33" s="197"/>
      <c r="D33" s="197"/>
      <c r="E33" s="197"/>
    </row>
  </sheetData>
  <mergeCells count="6">
    <mergeCell ref="A33:E33"/>
    <mergeCell ref="A1:E1"/>
    <mergeCell ref="A3:E3"/>
    <mergeCell ref="A8:E8"/>
    <mergeCell ref="A19:E19"/>
    <mergeCell ref="A32:E3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topLeftCell="A55" zoomScaleNormal="100" workbookViewId="0">
      <selection activeCell="B57" sqref="B57"/>
    </sheetView>
  </sheetViews>
  <sheetFormatPr baseColWidth="10" defaultColWidth="8.7109375" defaultRowHeight="15" customHeight="1" x14ac:dyDescent="0.25"/>
  <cols>
    <col min="1" max="1" width="36" customWidth="1"/>
    <col min="2" max="4" width="20" customWidth="1"/>
    <col min="5" max="5" width="28" customWidth="1"/>
  </cols>
  <sheetData>
    <row r="1" spans="1:5" ht="30" customHeight="1" x14ac:dyDescent="0.25">
      <c r="A1" s="14" t="s">
        <v>71</v>
      </c>
      <c r="B1" s="14"/>
      <c r="C1" s="14"/>
      <c r="D1" s="14"/>
      <c r="E1" s="14"/>
    </row>
    <row r="2" spans="1:5" ht="21.75" customHeight="1" x14ac:dyDescent="0.25">
      <c r="A2" s="198" t="s">
        <v>72</v>
      </c>
      <c r="B2" s="198"/>
      <c r="C2" s="198"/>
      <c r="D2" s="198"/>
      <c r="E2" s="198"/>
    </row>
    <row r="4" spans="1:5" ht="19.5" customHeight="1" x14ac:dyDescent="0.25">
      <c r="A4" s="195" t="s">
        <v>73</v>
      </c>
      <c r="B4" s="195"/>
      <c r="C4" s="195"/>
      <c r="D4" s="195"/>
      <c r="E4" s="195"/>
    </row>
    <row r="5" spans="1:5" ht="30" customHeight="1" x14ac:dyDescent="0.25">
      <c r="A5" s="15" t="s">
        <v>74</v>
      </c>
      <c r="B5" s="15" t="s">
        <v>75</v>
      </c>
      <c r="C5" s="15" t="s">
        <v>76</v>
      </c>
      <c r="D5" s="15" t="s">
        <v>77</v>
      </c>
      <c r="E5" s="15" t="s">
        <v>76</v>
      </c>
    </row>
    <row r="6" spans="1:5" ht="27.75" customHeight="1" x14ac:dyDescent="0.25">
      <c r="A6" s="57" t="s">
        <v>78</v>
      </c>
      <c r="B6" s="58" t="s">
        <v>79</v>
      </c>
      <c r="C6" s="59" t="s">
        <v>7</v>
      </c>
      <c r="D6" s="58" t="s">
        <v>80</v>
      </c>
      <c r="E6" s="60" t="s">
        <v>81</v>
      </c>
    </row>
    <row r="7" spans="1:5" ht="27.75" customHeight="1" x14ac:dyDescent="0.25">
      <c r="A7" s="61" t="s">
        <v>49</v>
      </c>
      <c r="B7" s="62" t="s">
        <v>82</v>
      </c>
      <c r="C7" s="63" t="s">
        <v>83</v>
      </c>
      <c r="D7" s="64" t="s">
        <v>84</v>
      </c>
      <c r="E7" s="65" t="s">
        <v>85</v>
      </c>
    </row>
    <row r="8" spans="1:5" ht="27.75" customHeight="1" x14ac:dyDescent="0.25">
      <c r="A8" s="57" t="s">
        <v>86</v>
      </c>
      <c r="B8" s="58" t="s">
        <v>87</v>
      </c>
      <c r="C8" s="59" t="s">
        <v>88</v>
      </c>
      <c r="D8" s="58" t="s">
        <v>89</v>
      </c>
      <c r="E8" s="60" t="s">
        <v>85</v>
      </c>
    </row>
    <row r="9" spans="1:5" ht="27.75" customHeight="1" x14ac:dyDescent="0.25">
      <c r="A9" s="61" t="s">
        <v>90</v>
      </c>
      <c r="B9" s="62" t="s">
        <v>91</v>
      </c>
      <c r="C9" s="66" t="s">
        <v>92</v>
      </c>
      <c r="D9" s="62" t="s">
        <v>93</v>
      </c>
      <c r="E9" s="65" t="s">
        <v>94</v>
      </c>
    </row>
    <row r="10" spans="1:5" ht="27.75" customHeight="1" x14ac:dyDescent="0.25">
      <c r="A10" s="57" t="s">
        <v>95</v>
      </c>
      <c r="B10" s="58" t="s">
        <v>96</v>
      </c>
      <c r="C10" s="59" t="s">
        <v>97</v>
      </c>
      <c r="D10" s="67" t="s">
        <v>98</v>
      </c>
      <c r="E10" s="60" t="s">
        <v>99</v>
      </c>
    </row>
    <row r="11" spans="1:5" ht="27.75" customHeight="1" x14ac:dyDescent="0.25">
      <c r="A11" s="61" t="s">
        <v>100</v>
      </c>
      <c r="B11" s="62" t="s">
        <v>101</v>
      </c>
      <c r="C11" s="63" t="s">
        <v>83</v>
      </c>
      <c r="D11" s="62" t="s">
        <v>102</v>
      </c>
      <c r="E11" s="65" t="s">
        <v>103</v>
      </c>
    </row>
    <row r="12" spans="1:5" ht="27.75" customHeight="1" x14ac:dyDescent="0.25">
      <c r="A12" s="199" t="s">
        <v>104</v>
      </c>
      <c r="B12" s="199"/>
      <c r="C12" s="199"/>
      <c r="D12" s="199"/>
      <c r="E12" s="199"/>
    </row>
    <row r="13" spans="1:5" ht="27.75" customHeight="1" x14ac:dyDescent="0.25">
      <c r="A13" s="61" t="s">
        <v>105</v>
      </c>
      <c r="B13" s="62" t="s">
        <v>106</v>
      </c>
      <c r="C13" s="63" t="s">
        <v>83</v>
      </c>
      <c r="D13" s="62" t="s">
        <v>107</v>
      </c>
      <c r="E13" s="65" t="s">
        <v>85</v>
      </c>
    </row>
    <row r="14" spans="1:5" ht="45" customHeight="1" x14ac:dyDescent="0.25">
      <c r="A14" s="2" t="s">
        <v>108</v>
      </c>
      <c r="B14" s="2"/>
      <c r="C14" s="2"/>
      <c r="D14" s="2"/>
      <c r="E14" s="2"/>
    </row>
    <row r="15" spans="1:5" ht="7.5" customHeight="1" x14ac:dyDescent="0.25"/>
    <row r="21" spans="1:5" ht="23.25" customHeight="1" x14ac:dyDescent="0.25"/>
    <row r="22" spans="1:5" ht="15" customHeight="1" x14ac:dyDescent="0.25">
      <c r="A22" s="41" t="s">
        <v>109</v>
      </c>
    </row>
    <row r="23" spans="1:5" ht="23.25" customHeight="1" x14ac:dyDescent="0.25">
      <c r="A23" s="15" t="s">
        <v>110</v>
      </c>
      <c r="B23" s="15" t="s">
        <v>111</v>
      </c>
      <c r="C23" s="15" t="s">
        <v>112</v>
      </c>
      <c r="D23" s="15" t="s">
        <v>113</v>
      </c>
      <c r="E23" s="15" t="s">
        <v>114</v>
      </c>
    </row>
    <row r="24" spans="1:5" ht="19.5" customHeight="1" x14ac:dyDescent="0.25">
      <c r="A24" s="200" t="s">
        <v>115</v>
      </c>
      <c r="B24" s="200"/>
      <c r="C24" s="200"/>
      <c r="D24" s="200"/>
      <c r="E24" s="200"/>
    </row>
    <row r="25" spans="1:5" ht="15" customHeight="1" x14ac:dyDescent="0.25">
      <c r="A25" s="62" t="s">
        <v>116</v>
      </c>
      <c r="B25" s="36">
        <v>3400</v>
      </c>
      <c r="C25" s="36">
        <v>4217</v>
      </c>
      <c r="D25" s="36">
        <v>5100</v>
      </c>
      <c r="E25" s="68" t="s">
        <v>117</v>
      </c>
    </row>
    <row r="26" spans="1:5" ht="23.25" customHeight="1" x14ac:dyDescent="0.25">
      <c r="A26" s="58" t="s">
        <v>118</v>
      </c>
      <c r="B26" s="35">
        <v>2600</v>
      </c>
      <c r="C26" s="35">
        <v>3100</v>
      </c>
      <c r="D26" s="35">
        <v>3600</v>
      </c>
      <c r="E26" s="69" t="s">
        <v>119</v>
      </c>
    </row>
    <row r="27" spans="1:5" ht="23.25" customHeight="1" x14ac:dyDescent="0.25">
      <c r="A27" s="62" t="s">
        <v>120</v>
      </c>
      <c r="B27" s="36">
        <v>3000</v>
      </c>
      <c r="C27" s="36">
        <v>3600</v>
      </c>
      <c r="D27" s="36">
        <v>4200</v>
      </c>
      <c r="E27" s="68" t="s">
        <v>121</v>
      </c>
    </row>
    <row r="28" spans="1:5" ht="23.25" customHeight="1" x14ac:dyDescent="0.25">
      <c r="A28" s="58" t="s">
        <v>122</v>
      </c>
      <c r="B28" s="35">
        <v>3800</v>
      </c>
      <c r="C28" s="35">
        <v>4400</v>
      </c>
      <c r="D28" s="35">
        <v>5200</v>
      </c>
      <c r="E28" s="69" t="s">
        <v>123</v>
      </c>
    </row>
    <row r="30" spans="1:5" ht="23.25" customHeight="1" x14ac:dyDescent="0.25">
      <c r="A30" s="41" t="s">
        <v>124</v>
      </c>
    </row>
    <row r="31" spans="1:5" ht="15" customHeight="1" x14ac:dyDescent="0.25">
      <c r="A31" s="15" t="s">
        <v>37</v>
      </c>
      <c r="B31" s="15" t="s">
        <v>125</v>
      </c>
      <c r="C31" s="15" t="s">
        <v>38</v>
      </c>
      <c r="D31" s="15" t="s">
        <v>126</v>
      </c>
      <c r="E31" s="15" t="s">
        <v>38</v>
      </c>
    </row>
    <row r="32" spans="1:5" ht="45" customHeight="1" x14ac:dyDescent="0.25">
      <c r="A32" s="70" t="s">
        <v>14</v>
      </c>
      <c r="B32" s="71">
        <v>160</v>
      </c>
      <c r="C32" s="72" t="s">
        <v>127</v>
      </c>
      <c r="D32" s="71">
        <v>300</v>
      </c>
      <c r="E32" s="73" t="s">
        <v>128</v>
      </c>
    </row>
    <row r="33" spans="1:5" ht="30" customHeight="1" x14ac:dyDescent="0.25">
      <c r="A33" s="201" t="s">
        <v>129</v>
      </c>
      <c r="B33" s="201"/>
      <c r="C33" s="201"/>
      <c r="D33" s="201"/>
      <c r="E33" s="201"/>
    </row>
    <row r="34" spans="1:5" ht="34.5" customHeight="1" x14ac:dyDescent="0.25">
      <c r="A34" s="58" t="s">
        <v>130</v>
      </c>
      <c r="B34" s="35">
        <v>2600</v>
      </c>
      <c r="C34" s="75" t="s">
        <v>131</v>
      </c>
      <c r="D34" s="35">
        <v>4400</v>
      </c>
      <c r="E34" s="69" t="s">
        <v>132</v>
      </c>
    </row>
    <row r="35" spans="1:5" ht="34.5" customHeight="1" x14ac:dyDescent="0.25">
      <c r="A35" s="74" t="s">
        <v>133</v>
      </c>
      <c r="B35" s="22">
        <v>2950</v>
      </c>
      <c r="C35" s="76" t="s">
        <v>131</v>
      </c>
      <c r="D35" s="22">
        <v>4900</v>
      </c>
      <c r="E35" s="77" t="s">
        <v>134</v>
      </c>
    </row>
    <row r="36" spans="1:5" ht="23.25" customHeight="1" x14ac:dyDescent="0.25">
      <c r="A36" s="58" t="s">
        <v>135</v>
      </c>
      <c r="B36" s="35">
        <v>3250</v>
      </c>
      <c r="C36" s="75" t="s">
        <v>131</v>
      </c>
      <c r="D36" s="35">
        <v>5400</v>
      </c>
      <c r="E36" s="69" t="s">
        <v>136</v>
      </c>
    </row>
    <row r="38" spans="1:5" ht="15" customHeight="1" x14ac:dyDescent="0.25">
      <c r="A38" s="78" t="s">
        <v>137</v>
      </c>
      <c r="B38" s="79">
        <f>B32*B34</f>
        <v>416000</v>
      </c>
      <c r="C38" s="80" t="s">
        <v>47</v>
      </c>
      <c r="D38" s="79">
        <f>D32*D34</f>
        <v>1320000</v>
      </c>
      <c r="E38" s="80" t="s">
        <v>47</v>
      </c>
    </row>
    <row r="39" spans="1:5" ht="23.25" customHeight="1" x14ac:dyDescent="0.25">
      <c r="A39" s="81" t="s">
        <v>138</v>
      </c>
      <c r="B39" s="82">
        <f>B32*B35</f>
        <v>472000</v>
      </c>
      <c r="C39" s="83" t="s">
        <v>47</v>
      </c>
      <c r="D39" s="82">
        <f>D32*D35</f>
        <v>1470000</v>
      </c>
      <c r="E39" s="83" t="s">
        <v>47</v>
      </c>
    </row>
    <row r="40" spans="1:5" ht="15" customHeight="1" x14ac:dyDescent="0.25">
      <c r="A40" s="84" t="s">
        <v>139</v>
      </c>
      <c r="B40" s="85">
        <f>B32*B36</f>
        <v>520000</v>
      </c>
      <c r="C40" s="86" t="s">
        <v>47</v>
      </c>
      <c r="D40" s="85">
        <f>D32*D36</f>
        <v>1620000</v>
      </c>
      <c r="E40" s="86" t="s">
        <v>47</v>
      </c>
    </row>
    <row r="41" spans="1:5" ht="23.25" customHeight="1" x14ac:dyDescent="0.25">
      <c r="A41" s="87" t="s">
        <v>140</v>
      </c>
      <c r="B41" s="88">
        <f>B40+90000</f>
        <v>610000</v>
      </c>
      <c r="C41" s="89" t="s">
        <v>47</v>
      </c>
      <c r="D41" s="88">
        <f>D40+120000</f>
        <v>1740000</v>
      </c>
      <c r="E41" s="90" t="s">
        <v>141</v>
      </c>
    </row>
    <row r="43" spans="1:5" ht="15" customHeight="1" x14ac:dyDescent="0.25">
      <c r="A43" s="41" t="s">
        <v>142</v>
      </c>
    </row>
    <row r="44" spans="1:5" ht="23.25" customHeight="1" x14ac:dyDescent="0.25">
      <c r="A44" s="15" t="s">
        <v>2</v>
      </c>
      <c r="B44" s="15" t="s">
        <v>143</v>
      </c>
      <c r="C44" s="15" t="s">
        <v>144</v>
      </c>
      <c r="D44" s="15" t="s">
        <v>5</v>
      </c>
      <c r="E44" s="15" t="s">
        <v>145</v>
      </c>
    </row>
    <row r="45" spans="1:5" ht="23.25" customHeight="1" x14ac:dyDescent="0.25">
      <c r="A45" s="58" t="s">
        <v>146</v>
      </c>
      <c r="B45" s="52">
        <f>Wertermittlung!C24</f>
        <v>168000</v>
      </c>
      <c r="C45" s="52">
        <f>Wertermittlung!E24</f>
        <v>712338</v>
      </c>
      <c r="D45" s="92">
        <f>B45+C45</f>
        <v>880338</v>
      </c>
      <c r="E45" s="69" t="s">
        <v>147</v>
      </c>
    </row>
    <row r="46" spans="1:5" ht="23.25" customHeight="1" x14ac:dyDescent="0.25">
      <c r="A46" s="74" t="s">
        <v>148</v>
      </c>
      <c r="B46" s="91">
        <f>B38</f>
        <v>416000</v>
      </c>
      <c r="C46" s="91">
        <f>D38</f>
        <v>1320000</v>
      </c>
      <c r="D46" s="92">
        <f>B46+C46</f>
        <v>1736000</v>
      </c>
      <c r="E46" s="77" t="s">
        <v>149</v>
      </c>
    </row>
    <row r="47" spans="1:5" ht="15" customHeight="1" x14ac:dyDescent="0.25">
      <c r="A47" s="81" t="s">
        <v>150</v>
      </c>
      <c r="B47" s="93">
        <f>B39</f>
        <v>472000</v>
      </c>
      <c r="C47" s="93">
        <f>D39</f>
        <v>1470000</v>
      </c>
      <c r="D47" s="82">
        <f>B47+C47</f>
        <v>1942000</v>
      </c>
      <c r="E47" s="94" t="s">
        <v>151</v>
      </c>
    </row>
    <row r="48" spans="1:5" ht="23.25" customHeight="1" x14ac:dyDescent="0.25">
      <c r="A48" s="58" t="s">
        <v>152</v>
      </c>
      <c r="B48" s="95">
        <f>B40</f>
        <v>520000</v>
      </c>
      <c r="C48" s="95">
        <f>D40</f>
        <v>1620000</v>
      </c>
      <c r="D48" s="96">
        <f>B48+C48</f>
        <v>2140000</v>
      </c>
      <c r="E48" s="69" t="s">
        <v>153</v>
      </c>
    </row>
    <row r="49" spans="1:5" ht="23.25" customHeight="1" x14ac:dyDescent="0.25">
      <c r="A49" s="74" t="s">
        <v>154</v>
      </c>
      <c r="B49" s="91">
        <f>B47-B45</f>
        <v>304000</v>
      </c>
      <c r="C49" s="91">
        <f>C47-C45</f>
        <v>757662</v>
      </c>
      <c r="D49" s="91">
        <f>B49+C49</f>
        <v>1061662</v>
      </c>
      <c r="E49" s="97" t="s">
        <v>155</v>
      </c>
    </row>
    <row r="50" spans="1:5" ht="74.25" customHeight="1" x14ac:dyDescent="0.25"/>
    <row r="51" spans="1:5" ht="36.75" customHeight="1" x14ac:dyDescent="0.25">
      <c r="A51" s="98" t="s">
        <v>156</v>
      </c>
    </row>
    <row r="52" spans="1:5" ht="36.75" customHeight="1" x14ac:dyDescent="0.25">
      <c r="A52" s="99" t="s">
        <v>157</v>
      </c>
    </row>
    <row r="53" spans="1:5" ht="25.5" customHeight="1" x14ac:dyDescent="0.25">
      <c r="A53" s="191"/>
      <c r="B53" s="191"/>
      <c r="C53" s="191"/>
      <c r="D53" s="191"/>
      <c r="E53" s="191"/>
    </row>
    <row r="54" spans="1:5" ht="21.75" customHeight="1" x14ac:dyDescent="0.25">
      <c r="A54" s="202" t="s">
        <v>158</v>
      </c>
      <c r="B54" s="202"/>
      <c r="C54" s="202"/>
      <c r="D54" s="202"/>
      <c r="E54" s="202"/>
    </row>
    <row r="55" spans="1:5" ht="42.75" customHeight="1" x14ac:dyDescent="0.25">
      <c r="A55" s="100" t="s">
        <v>159</v>
      </c>
    </row>
    <row r="56" spans="1:5" ht="19.5" customHeight="1" x14ac:dyDescent="0.25">
      <c r="A56" s="191"/>
      <c r="B56" s="191"/>
      <c r="C56" s="191"/>
      <c r="D56" s="191"/>
      <c r="E56" s="191"/>
    </row>
    <row r="57" spans="1:5" ht="27.75" customHeight="1" x14ac:dyDescent="0.25">
      <c r="A57" s="41" t="s">
        <v>160</v>
      </c>
    </row>
    <row r="58" spans="1:5" ht="15" customHeight="1" x14ac:dyDescent="0.25">
      <c r="A58" s="15" t="s">
        <v>161</v>
      </c>
      <c r="B58" s="15" t="s">
        <v>162</v>
      </c>
      <c r="C58" s="15" t="s">
        <v>163</v>
      </c>
      <c r="D58" s="15" t="s">
        <v>164</v>
      </c>
      <c r="E58" s="15" t="s">
        <v>165</v>
      </c>
    </row>
    <row r="59" spans="1:5" ht="15" customHeight="1" x14ac:dyDescent="0.25">
      <c r="A59" s="58" t="s">
        <v>166</v>
      </c>
      <c r="B59" s="101">
        <v>110</v>
      </c>
      <c r="C59" s="102">
        <v>12.5</v>
      </c>
      <c r="D59" s="95">
        <f>B59*C59</f>
        <v>1375</v>
      </c>
      <c r="E59" s="95">
        <f>D59*12</f>
        <v>16500</v>
      </c>
    </row>
    <row r="60" spans="1:5" ht="15" customHeight="1" x14ac:dyDescent="0.25">
      <c r="A60" s="74" t="s">
        <v>167</v>
      </c>
      <c r="B60" s="20">
        <v>80</v>
      </c>
      <c r="C60" s="102">
        <v>12</v>
      </c>
      <c r="D60" s="91">
        <f>B60*C60</f>
        <v>960</v>
      </c>
      <c r="E60" s="91">
        <f>D60*12</f>
        <v>11520</v>
      </c>
    </row>
    <row r="61" spans="1:5" ht="31.5" customHeight="1" x14ac:dyDescent="0.25">
      <c r="A61" s="103" t="s">
        <v>168</v>
      </c>
      <c r="B61" s="104">
        <v>110</v>
      </c>
      <c r="C61" s="102">
        <v>12.5</v>
      </c>
      <c r="D61" s="105">
        <f>B61*C61</f>
        <v>1375</v>
      </c>
      <c r="E61" s="105">
        <f>D61*12</f>
        <v>16500</v>
      </c>
    </row>
    <row r="62" spans="1:5" ht="42.75" customHeight="1" x14ac:dyDescent="0.25">
      <c r="A62" s="98" t="s">
        <v>169</v>
      </c>
    </row>
    <row r="63" spans="1:5" ht="19.5" customHeight="1" x14ac:dyDescent="0.25">
      <c r="A63" s="106" t="s">
        <v>170</v>
      </c>
      <c r="B63" s="107">
        <f>E63</f>
        <v>44520</v>
      </c>
      <c r="E63" s="108">
        <f>E59+E60+E61</f>
        <v>44520</v>
      </c>
    </row>
    <row r="64" spans="1:5" ht="21.75" customHeight="1" x14ac:dyDescent="0.25">
      <c r="D64" s="191"/>
      <c r="E64" s="191"/>
    </row>
    <row r="65" spans="1:5" ht="15" customHeight="1" x14ac:dyDescent="0.25">
      <c r="A65" s="41" t="s">
        <v>171</v>
      </c>
      <c r="D65" s="191"/>
      <c r="E65" s="191"/>
    </row>
    <row r="66" spans="1:5" ht="15" customHeight="1" x14ac:dyDescent="0.25">
      <c r="A66" s="15" t="s">
        <v>37</v>
      </c>
      <c r="B66" s="15" t="s">
        <v>24</v>
      </c>
      <c r="C66" s="15" t="s">
        <v>38</v>
      </c>
      <c r="D66" s="6" t="s">
        <v>172</v>
      </c>
      <c r="E66" s="6"/>
    </row>
    <row r="67" spans="1:5" ht="15" customHeight="1" x14ac:dyDescent="0.25">
      <c r="A67" s="62" t="s">
        <v>173</v>
      </c>
      <c r="B67" s="109">
        <f>E63</f>
        <v>44520</v>
      </c>
      <c r="C67" s="110" t="s">
        <v>174</v>
      </c>
      <c r="D67" s="9" t="s">
        <v>175</v>
      </c>
      <c r="E67" s="9"/>
    </row>
    <row r="68" spans="1:5" ht="15" customHeight="1" x14ac:dyDescent="0.25">
      <c r="A68" s="58" t="s">
        <v>176</v>
      </c>
      <c r="B68" s="112">
        <v>0.25</v>
      </c>
      <c r="C68" s="75" t="s">
        <v>57</v>
      </c>
      <c r="D68" s="10" t="s">
        <v>177</v>
      </c>
      <c r="E68" s="10"/>
    </row>
    <row r="69" spans="1:5" ht="15" customHeight="1" x14ac:dyDescent="0.25">
      <c r="A69" s="61" t="s">
        <v>178</v>
      </c>
      <c r="B69" s="113">
        <f>B67*(1-B68)</f>
        <v>33390</v>
      </c>
      <c r="C69" s="110" t="s">
        <v>174</v>
      </c>
      <c r="D69" s="9" t="s">
        <v>179</v>
      </c>
      <c r="E69" s="9"/>
    </row>
    <row r="70" spans="1:5" ht="15" customHeight="1" x14ac:dyDescent="0.25">
      <c r="A70" s="58" t="s">
        <v>180</v>
      </c>
      <c r="B70" s="52">
        <f>Wertermittlung!E6</f>
        <v>208680</v>
      </c>
      <c r="C70" s="75" t="s">
        <v>47</v>
      </c>
      <c r="D70" s="203" t="s">
        <v>181</v>
      </c>
      <c r="E70" s="203"/>
    </row>
    <row r="71" spans="1:5" ht="15" customHeight="1" x14ac:dyDescent="0.25">
      <c r="A71" s="62" t="s">
        <v>182</v>
      </c>
      <c r="B71" s="114">
        <v>1.0999999999999999E-2</v>
      </c>
      <c r="C71" s="110" t="s">
        <v>57</v>
      </c>
      <c r="D71" s="204" t="s">
        <v>183</v>
      </c>
      <c r="E71" s="204"/>
    </row>
    <row r="72" spans="1:5" ht="15" customHeight="1" x14ac:dyDescent="0.25">
      <c r="A72" s="58" t="s">
        <v>184</v>
      </c>
      <c r="B72" s="53">
        <f>B70*B71</f>
        <v>2295.48</v>
      </c>
      <c r="C72" s="75" t="s">
        <v>174</v>
      </c>
      <c r="D72" s="10" t="s">
        <v>185</v>
      </c>
      <c r="E72" s="10"/>
    </row>
    <row r="73" spans="1:5" ht="15" customHeight="1" x14ac:dyDescent="0.25">
      <c r="A73" s="62" t="s">
        <v>186</v>
      </c>
      <c r="B73" s="38">
        <f>B69-B72</f>
        <v>31094.52</v>
      </c>
      <c r="C73" s="110" t="s">
        <v>174</v>
      </c>
      <c r="D73" s="9" t="s">
        <v>187</v>
      </c>
      <c r="E73" s="9"/>
    </row>
    <row r="74" spans="1:5" ht="15" customHeight="1" x14ac:dyDescent="0.25">
      <c r="A74" s="58" t="s">
        <v>188</v>
      </c>
      <c r="B74" s="42">
        <v>45</v>
      </c>
      <c r="C74" s="75" t="s">
        <v>54</v>
      </c>
      <c r="D74" s="10" t="s">
        <v>189</v>
      </c>
      <c r="E74" s="10"/>
    </row>
    <row r="75" spans="1:5" ht="15" customHeight="1" x14ac:dyDescent="0.25">
      <c r="A75" s="62" t="s">
        <v>190</v>
      </c>
      <c r="B75" s="115">
        <f>(1-(1+B71)^(-B74))/B71</f>
        <v>35.343579829810345</v>
      </c>
      <c r="C75" s="110" t="s">
        <v>7</v>
      </c>
      <c r="D75" s="9" t="s">
        <v>191</v>
      </c>
      <c r="E75" s="9"/>
    </row>
    <row r="76" spans="1:5" ht="15" customHeight="1" x14ac:dyDescent="0.25">
      <c r="A76" s="84" t="s">
        <v>192</v>
      </c>
      <c r="B76" s="26">
        <f>B73*B75</f>
        <v>1098991.6498896345</v>
      </c>
      <c r="C76" s="116" t="s">
        <v>47</v>
      </c>
      <c r="D76" s="205" t="s">
        <v>193</v>
      </c>
      <c r="E76" s="205"/>
    </row>
    <row r="77" spans="1:5" ht="15" customHeight="1" x14ac:dyDescent="0.25">
      <c r="A77" s="61" t="s">
        <v>46</v>
      </c>
      <c r="B77" s="33">
        <f>Wertermittlung!E6</f>
        <v>208680</v>
      </c>
      <c r="C77" s="110" t="s">
        <v>47</v>
      </c>
      <c r="D77" s="111" t="s">
        <v>194</v>
      </c>
      <c r="E77" s="39"/>
    </row>
    <row r="78" spans="1:5" ht="19.5" customHeight="1" x14ac:dyDescent="0.25">
      <c r="A78" s="28" t="s">
        <v>195</v>
      </c>
      <c r="B78" s="206">
        <f>B76+B77</f>
        <v>1307671.6498896345</v>
      </c>
      <c r="C78" s="206"/>
      <c r="D78" s="206"/>
      <c r="E78" s="118">
        <f>B76+B77</f>
        <v>1307671.6498896345</v>
      </c>
    </row>
    <row r="79" spans="1:5" ht="15" customHeight="1" x14ac:dyDescent="0.25">
      <c r="D79" s="191"/>
      <c r="E79" s="191"/>
    </row>
    <row r="80" spans="1:5" ht="15" customHeight="1" x14ac:dyDescent="0.25">
      <c r="A80" s="41" t="s">
        <v>196</v>
      </c>
      <c r="D80" s="191"/>
      <c r="E80" s="191"/>
    </row>
    <row r="81" spans="1:5" ht="15" customHeight="1" x14ac:dyDescent="0.25">
      <c r="A81" s="15" t="s">
        <v>197</v>
      </c>
      <c r="B81" s="15" t="s">
        <v>198</v>
      </c>
      <c r="C81" s="15" t="s">
        <v>199</v>
      </c>
      <c r="D81" s="6" t="s">
        <v>200</v>
      </c>
      <c r="E81" s="6"/>
    </row>
    <row r="82" spans="1:5" ht="15" customHeight="1" x14ac:dyDescent="0.25">
      <c r="A82" s="58" t="s">
        <v>201</v>
      </c>
      <c r="B82" s="52">
        <f>Wertermittlung!E24</f>
        <v>712338</v>
      </c>
      <c r="C82" s="75" t="s">
        <v>202</v>
      </c>
      <c r="D82" s="10" t="s">
        <v>203</v>
      </c>
      <c r="E82" s="10"/>
    </row>
    <row r="83" spans="1:5" ht="15" customHeight="1" x14ac:dyDescent="0.25">
      <c r="A83" s="62" t="s">
        <v>204</v>
      </c>
      <c r="B83" s="33">
        <f>B78</f>
        <v>1307671.6498896345</v>
      </c>
      <c r="C83" s="110" t="s">
        <v>205</v>
      </c>
      <c r="D83" s="9" t="s">
        <v>206</v>
      </c>
      <c r="E83" s="9"/>
    </row>
    <row r="84" spans="1:5" ht="15" customHeight="1" x14ac:dyDescent="0.25">
      <c r="A84" s="119" t="s">
        <v>207</v>
      </c>
      <c r="B84" s="93">
        <f>D39</f>
        <v>1470000</v>
      </c>
      <c r="C84" s="120" t="s">
        <v>208</v>
      </c>
      <c r="D84" s="121" t="s">
        <v>209</v>
      </c>
      <c r="E84" s="39"/>
    </row>
    <row r="85" spans="1:5" ht="15" customHeight="1" x14ac:dyDescent="0.25">
      <c r="A85" s="84" t="s">
        <v>210</v>
      </c>
      <c r="B85" s="26">
        <f>(B82+B83+B84)/3</f>
        <v>1163336.5499632114</v>
      </c>
      <c r="C85" s="86" t="s">
        <v>211</v>
      </c>
      <c r="D85" s="117" t="s">
        <v>212</v>
      </c>
      <c r="E85" s="39"/>
    </row>
    <row r="86" spans="1:5" ht="39.75" customHeight="1" x14ac:dyDescent="0.25">
      <c r="A86" s="191"/>
      <c r="B86" s="191"/>
      <c r="C86" s="191"/>
      <c r="D86" s="191"/>
      <c r="E86" s="191"/>
    </row>
    <row r="88" spans="1:5" ht="53.25" customHeight="1" x14ac:dyDescent="0.25">
      <c r="A88" s="98" t="s">
        <v>213</v>
      </c>
    </row>
  </sheetData>
  <mergeCells count="30">
    <mergeCell ref="D80:E80"/>
    <mergeCell ref="D81:E81"/>
    <mergeCell ref="D82:E82"/>
    <mergeCell ref="D83:E83"/>
    <mergeCell ref="A86:E86"/>
    <mergeCell ref="D74:E74"/>
    <mergeCell ref="D75:E75"/>
    <mergeCell ref="D76:E76"/>
    <mergeCell ref="B78:D78"/>
    <mergeCell ref="D79:E79"/>
    <mergeCell ref="D69:E69"/>
    <mergeCell ref="D70:E70"/>
    <mergeCell ref="D71:E71"/>
    <mergeCell ref="D72:E72"/>
    <mergeCell ref="D73:E73"/>
    <mergeCell ref="D64:E64"/>
    <mergeCell ref="D65:E65"/>
    <mergeCell ref="D66:E66"/>
    <mergeCell ref="D67:E67"/>
    <mergeCell ref="D68:E68"/>
    <mergeCell ref="A24:E24"/>
    <mergeCell ref="A33:E33"/>
    <mergeCell ref="A53:E53"/>
    <mergeCell ref="A54:E54"/>
    <mergeCell ref="A56:E56"/>
    <mergeCell ref="A1:E1"/>
    <mergeCell ref="A2:E2"/>
    <mergeCell ref="A4:E4"/>
    <mergeCell ref="A12:E12"/>
    <mergeCell ref="A14:E14"/>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tabSelected="1" zoomScaleNormal="100" workbookViewId="0">
      <selection sqref="A1:E1"/>
    </sheetView>
  </sheetViews>
  <sheetFormatPr baseColWidth="10" defaultColWidth="8.7109375" defaultRowHeight="15" customHeight="1" x14ac:dyDescent="0.25"/>
  <cols>
    <col min="1" max="1" width="38" customWidth="1"/>
    <col min="2" max="5" width="20" customWidth="1"/>
  </cols>
  <sheetData>
    <row r="1" spans="1:5" ht="30" customHeight="1" x14ac:dyDescent="0.25">
      <c r="A1" s="14" t="s">
        <v>214</v>
      </c>
      <c r="B1" s="14"/>
      <c r="C1" s="14"/>
      <c r="D1" s="14"/>
      <c r="E1" s="14"/>
    </row>
    <row r="3" spans="1:5" ht="19.5" customHeight="1" x14ac:dyDescent="0.25">
      <c r="A3" s="195" t="s">
        <v>215</v>
      </c>
      <c r="B3" s="195"/>
      <c r="C3" s="195"/>
      <c r="D3" s="195"/>
      <c r="E3" s="195"/>
    </row>
    <row r="4" spans="1:5" ht="15" customHeight="1" x14ac:dyDescent="0.25">
      <c r="A4" s="15" t="s">
        <v>37</v>
      </c>
      <c r="B4" s="15" t="s">
        <v>24</v>
      </c>
      <c r="C4" s="6" t="s">
        <v>172</v>
      </c>
      <c r="D4" s="6"/>
      <c r="E4" s="6"/>
    </row>
    <row r="5" spans="1:5" ht="15" customHeight="1" x14ac:dyDescent="0.25">
      <c r="A5" s="18" t="s">
        <v>216</v>
      </c>
      <c r="B5" s="122">
        <f>Wertermittlung!C30+Wertermittlung!E30</f>
        <v>792304.20000000007</v>
      </c>
      <c r="C5" s="192" t="s">
        <v>217</v>
      </c>
      <c r="D5" s="192"/>
      <c r="E5" s="192"/>
    </row>
    <row r="6" spans="1:5" ht="15" customHeight="1" x14ac:dyDescent="0.25">
      <c r="A6" s="16" t="s">
        <v>218</v>
      </c>
      <c r="B6" s="42">
        <v>3</v>
      </c>
      <c r="C6" s="193" t="s">
        <v>219</v>
      </c>
      <c r="D6" s="193"/>
      <c r="E6" s="193"/>
    </row>
    <row r="7" spans="1:5" ht="15" customHeight="1" x14ac:dyDescent="0.25">
      <c r="A7" s="18" t="s">
        <v>220</v>
      </c>
      <c r="B7" s="36">
        <v>400000</v>
      </c>
      <c r="C7" s="192" t="s">
        <v>221</v>
      </c>
      <c r="D7" s="192"/>
      <c r="E7" s="192"/>
    </row>
    <row r="8" spans="1:5" ht="15" customHeight="1" x14ac:dyDescent="0.25">
      <c r="A8" s="16" t="s">
        <v>222</v>
      </c>
      <c r="B8" s="42">
        <v>74</v>
      </c>
      <c r="C8" s="193" t="s">
        <v>223</v>
      </c>
      <c r="D8" s="193"/>
      <c r="E8" s="193"/>
    </row>
    <row r="9" spans="1:5" ht="15" customHeight="1" x14ac:dyDescent="0.25">
      <c r="A9" s="18" t="s">
        <v>224</v>
      </c>
      <c r="B9" s="36">
        <v>2025</v>
      </c>
      <c r="C9" s="192" t="s">
        <v>225</v>
      </c>
      <c r="D9" s="192"/>
      <c r="E9" s="192"/>
    </row>
    <row r="11" spans="1:5" ht="19.5" customHeight="1" x14ac:dyDescent="0.25">
      <c r="A11" s="195" t="s">
        <v>226</v>
      </c>
      <c r="B11" s="195"/>
      <c r="C11" s="195"/>
      <c r="D11" s="195"/>
      <c r="E11" s="195"/>
    </row>
    <row r="12" spans="1:5" ht="15" customHeight="1" x14ac:dyDescent="0.25">
      <c r="A12" s="15" t="s">
        <v>2</v>
      </c>
      <c r="B12" s="15" t="s">
        <v>227</v>
      </c>
      <c r="C12" s="15" t="s">
        <v>228</v>
      </c>
      <c r="D12" s="15" t="s">
        <v>229</v>
      </c>
      <c r="E12" s="15" t="s">
        <v>5</v>
      </c>
    </row>
    <row r="13" spans="1:5" ht="15" customHeight="1" x14ac:dyDescent="0.25">
      <c r="A13" s="16" t="s">
        <v>230</v>
      </c>
      <c r="B13" s="53">
        <f>B5/B6</f>
        <v>264101.40000000002</v>
      </c>
      <c r="C13" s="123">
        <f>B13</f>
        <v>264101.40000000002</v>
      </c>
      <c r="D13" s="123">
        <f>B13</f>
        <v>264101.40000000002</v>
      </c>
      <c r="E13" s="26">
        <f>B13+C13+D13</f>
        <v>792304.20000000007</v>
      </c>
    </row>
    <row r="14" spans="1:5" ht="15" customHeight="1" x14ac:dyDescent="0.25">
      <c r="A14" s="43" t="s">
        <v>231</v>
      </c>
      <c r="B14" s="27">
        <f>B7</f>
        <v>400000</v>
      </c>
      <c r="C14" s="27">
        <f>B7</f>
        <v>400000</v>
      </c>
      <c r="D14" s="27">
        <f>B7</f>
        <v>400000</v>
      </c>
      <c r="E14" s="26">
        <f>B14+C14+D14</f>
        <v>1200000</v>
      </c>
    </row>
    <row r="15" spans="1:5" ht="15" customHeight="1" x14ac:dyDescent="0.25">
      <c r="A15" s="16" t="s">
        <v>232</v>
      </c>
      <c r="B15" s="53">
        <f>MAX(B13-B14,0)</f>
        <v>0</v>
      </c>
      <c r="C15" s="53">
        <f>MAX(C13-C14,0)</f>
        <v>0</v>
      </c>
      <c r="D15" s="53">
        <f>MAX(D13-D14,0)</f>
        <v>0</v>
      </c>
      <c r="E15" s="26">
        <f>B15+C15+D15</f>
        <v>0</v>
      </c>
    </row>
    <row r="16" spans="1:5" ht="15" customHeight="1" x14ac:dyDescent="0.25">
      <c r="A16" s="43" t="s">
        <v>233</v>
      </c>
      <c r="B16" s="124">
        <f>IF(B15=0,0,IF(B15&lt;=75000,0.07,IF(B15&lt;=300000,0.11,IF(B15&lt;=600000,0.15,0.19))))</f>
        <v>0</v>
      </c>
      <c r="C16" s="124">
        <f>IF(C15=0,0,IF(C15&lt;=75000,0.07,IF(C15&lt;=300000,0.11,IF(C15&lt;=600000,0.15,0.19))))</f>
        <v>0</v>
      </c>
      <c r="D16" s="124">
        <f>IF(D15=0,0,IF(D15&lt;=75000,0.07,IF(D15&lt;=300000,0.11,IF(D15&lt;=600000,0.15,0.19))))</f>
        <v>0</v>
      </c>
      <c r="E16" s="44" t="s">
        <v>7</v>
      </c>
    </row>
    <row r="17" spans="1:5" ht="15" customHeight="1" x14ac:dyDescent="0.25">
      <c r="A17" s="28" t="s">
        <v>234</v>
      </c>
      <c r="B17" s="37">
        <f>B15*B16</f>
        <v>0</v>
      </c>
      <c r="C17" s="37">
        <f>C15*C16</f>
        <v>0</v>
      </c>
      <c r="D17" s="37">
        <f>D15*D16</f>
        <v>0</v>
      </c>
      <c r="E17" s="29">
        <f>B17+C17+D17</f>
        <v>0</v>
      </c>
    </row>
    <row r="20" spans="1:5" ht="19.5" customHeight="1" x14ac:dyDescent="0.25">
      <c r="A20" s="195" t="s">
        <v>235</v>
      </c>
      <c r="B20" s="195"/>
      <c r="C20" s="195"/>
      <c r="D20" s="195"/>
      <c r="E20" s="195"/>
    </row>
    <row r="21" spans="1:5" ht="15" customHeight="1" x14ac:dyDescent="0.25">
      <c r="A21" s="15" t="s">
        <v>2</v>
      </c>
      <c r="B21" s="6" t="s">
        <v>236</v>
      </c>
      <c r="C21" s="6"/>
      <c r="D21" s="6" t="s">
        <v>237</v>
      </c>
      <c r="E21" s="6"/>
    </row>
    <row r="22" spans="1:5" ht="15" customHeight="1" x14ac:dyDescent="0.25">
      <c r="A22" s="16" t="s">
        <v>238</v>
      </c>
      <c r="B22" s="207">
        <f>B5</f>
        <v>792304.20000000007</v>
      </c>
      <c r="C22" s="207"/>
      <c r="D22" s="207">
        <f>B5</f>
        <v>792304.20000000007</v>
      </c>
      <c r="E22" s="207"/>
    </row>
    <row r="23" spans="1:5" ht="15" customHeight="1" x14ac:dyDescent="0.25">
      <c r="A23" s="18" t="s">
        <v>239</v>
      </c>
      <c r="B23" s="208">
        <f>B7*B6</f>
        <v>1200000</v>
      </c>
      <c r="C23" s="208"/>
      <c r="D23" s="208">
        <f>B7*B6</f>
        <v>1200000</v>
      </c>
      <c r="E23" s="208"/>
    </row>
    <row r="24" spans="1:5" ht="15" customHeight="1" x14ac:dyDescent="0.25">
      <c r="A24" s="16" t="s">
        <v>240</v>
      </c>
      <c r="B24" s="209">
        <f>MAX(B5-B7*B6,0)</f>
        <v>0</v>
      </c>
      <c r="C24" s="209"/>
      <c r="D24" s="209">
        <f>MAX(B5-B7*B6,0)</f>
        <v>0</v>
      </c>
      <c r="E24" s="209"/>
    </row>
    <row r="25" spans="1:5" ht="15" customHeight="1" x14ac:dyDescent="0.25">
      <c r="A25" s="30" t="s">
        <v>241</v>
      </c>
      <c r="B25" s="210">
        <f>B17+C17+D17</f>
        <v>0</v>
      </c>
      <c r="C25" s="210"/>
      <c r="D25" s="210">
        <f>MAX(B5-B7*B6,0)*IF(MAX(B5-B7*B6,0)&lt;=75000,0.07,IF(MAX(B5-B7*B6,0)&lt;=300000,0.11,0.15))</f>
        <v>0</v>
      </c>
      <c r="E25" s="210"/>
    </row>
    <row r="26" spans="1:5" ht="15" customHeight="1" x14ac:dyDescent="0.25">
      <c r="A26" s="28" t="s">
        <v>242</v>
      </c>
      <c r="B26" s="211">
        <f>D25-B25</f>
        <v>0</v>
      </c>
      <c r="C26" s="211"/>
      <c r="D26" s="194" t="s">
        <v>243</v>
      </c>
      <c r="E26" s="194"/>
    </row>
    <row r="30" spans="1:5" ht="34.5" customHeight="1" x14ac:dyDescent="0.25">
      <c r="A30" s="212" t="s">
        <v>244</v>
      </c>
      <c r="B30" s="212"/>
      <c r="C30" s="212"/>
      <c r="D30" s="212"/>
      <c r="E30" s="212"/>
    </row>
    <row r="31" spans="1:5" ht="34.5" customHeight="1" x14ac:dyDescent="0.25">
      <c r="A31" s="213" t="s">
        <v>245</v>
      </c>
      <c r="B31" s="213"/>
      <c r="C31" s="213"/>
      <c r="D31" s="213"/>
      <c r="E31" s="213"/>
    </row>
    <row r="40" spans="1:1" ht="15" customHeight="1" x14ac:dyDescent="0.25">
      <c r="A40" s="125">
        <f>B17+C17+D17</f>
        <v>0</v>
      </c>
    </row>
    <row r="41" spans="1:1" ht="15" customHeight="1" x14ac:dyDescent="0.25">
      <c r="A41" s="126">
        <f>B26</f>
        <v>0</v>
      </c>
    </row>
  </sheetData>
  <mergeCells count="24">
    <mergeCell ref="A30:E30"/>
    <mergeCell ref="A31:E31"/>
    <mergeCell ref="B24:C24"/>
    <mergeCell ref="D24:E24"/>
    <mergeCell ref="B25:C25"/>
    <mergeCell ref="D25:E25"/>
    <mergeCell ref="B26:C26"/>
    <mergeCell ref="D26:E26"/>
    <mergeCell ref="B21:C21"/>
    <mergeCell ref="D21:E21"/>
    <mergeCell ref="B22:C22"/>
    <mergeCell ref="D22:E22"/>
    <mergeCell ref="B23:C23"/>
    <mergeCell ref="D23:E23"/>
    <mergeCell ref="C7:E7"/>
    <mergeCell ref="C8:E8"/>
    <mergeCell ref="C9:E9"/>
    <mergeCell ref="A11:E11"/>
    <mergeCell ref="A20:E20"/>
    <mergeCell ref="A1:E1"/>
    <mergeCell ref="A3:E3"/>
    <mergeCell ref="C4:E4"/>
    <mergeCell ref="C5:E5"/>
    <mergeCell ref="C6:E6"/>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zoomScaleNormal="100" workbookViewId="0"/>
  </sheetViews>
  <sheetFormatPr baseColWidth="10" defaultColWidth="8.7109375" defaultRowHeight="15" customHeight="1" x14ac:dyDescent="0.25"/>
  <cols>
    <col min="1" max="1" width="35" customWidth="1"/>
    <col min="2" max="4" width="20" customWidth="1"/>
  </cols>
  <sheetData>
    <row r="1" spans="1:4" ht="30" customHeight="1" x14ac:dyDescent="0.25">
      <c r="A1" s="14" t="s">
        <v>246</v>
      </c>
      <c r="B1" s="14"/>
      <c r="C1" s="14"/>
      <c r="D1" s="14"/>
    </row>
    <row r="2" spans="1:4" ht="24.75" customHeight="1" x14ac:dyDescent="0.25">
      <c r="A2" s="212" t="s">
        <v>247</v>
      </c>
      <c r="B2" s="212"/>
      <c r="C2" s="212"/>
      <c r="D2" s="212"/>
    </row>
    <row r="4" spans="1:4" ht="21.75" customHeight="1" x14ac:dyDescent="0.25">
      <c r="A4" s="195" t="s">
        <v>248</v>
      </c>
      <c r="B4" s="195"/>
      <c r="C4" s="195"/>
      <c r="D4" s="195"/>
    </row>
    <row r="5" spans="1:4" ht="15" customHeight="1" x14ac:dyDescent="0.25">
      <c r="A5" s="15" t="s">
        <v>2</v>
      </c>
      <c r="B5" s="15" t="s">
        <v>227</v>
      </c>
      <c r="C5" s="15" t="s">
        <v>228</v>
      </c>
      <c r="D5" s="15" t="s">
        <v>229</v>
      </c>
    </row>
    <row r="6" spans="1:4" ht="15" customHeight="1" x14ac:dyDescent="0.25">
      <c r="A6" s="16" t="s">
        <v>249</v>
      </c>
      <c r="B6" s="17" t="s">
        <v>250</v>
      </c>
      <c r="C6" s="17" t="s">
        <v>251</v>
      </c>
      <c r="D6" s="17" t="s">
        <v>252</v>
      </c>
    </row>
    <row r="7" spans="1:4" ht="15" customHeight="1" x14ac:dyDescent="0.25">
      <c r="A7" s="43" t="s">
        <v>253</v>
      </c>
      <c r="B7" s="27">
        <f>Wertermittlung!C30</f>
        <v>151200</v>
      </c>
      <c r="C7" s="27">
        <f>Wertermittlung!E30</f>
        <v>641104.20000000007</v>
      </c>
      <c r="D7" s="25">
        <f>(Wertermittlung!C30+Wertermittlung!E30)/3</f>
        <v>264101.40000000002</v>
      </c>
    </row>
    <row r="8" spans="1:4" ht="15" customHeight="1" x14ac:dyDescent="0.25">
      <c r="A8" s="16" t="s">
        <v>254</v>
      </c>
      <c r="B8" s="35">
        <v>400000</v>
      </c>
      <c r="C8" s="35">
        <v>400000</v>
      </c>
      <c r="D8" s="35">
        <v>400000</v>
      </c>
    </row>
    <row r="9" spans="1:4" ht="15" customHeight="1" x14ac:dyDescent="0.25">
      <c r="A9" s="43" t="s">
        <v>232</v>
      </c>
      <c r="B9" s="25">
        <f>MAX(B7-B8,0)</f>
        <v>0</v>
      </c>
      <c r="C9" s="25">
        <f>MAX(C7-C8,0)</f>
        <v>241104.20000000007</v>
      </c>
      <c r="D9" s="25">
        <f>MAX(D7-D8,0)</f>
        <v>0</v>
      </c>
    </row>
    <row r="10" spans="1:4" ht="15" customHeight="1" x14ac:dyDescent="0.25">
      <c r="A10" s="28" t="s">
        <v>255</v>
      </c>
      <c r="B10" s="37">
        <f>MAX(B9,0)*IF(B9&lt;=75000,0.07,IF(B9&lt;=300000,0.11,IF(B9&lt;=600000,0.15,0.19)))</f>
        <v>0</v>
      </c>
      <c r="C10" s="37">
        <f>MAX(C9,0)*IF(C9&lt;=75000,0.07,IF(C9&lt;=300000,0.11,IF(C9&lt;=600000,0.15,0.19)))</f>
        <v>26521.462000000007</v>
      </c>
      <c r="D10" s="37">
        <f>MAX(D9,0)*IF(D9&lt;=75000,0.07,IF(D9&lt;=300000,0.11,IF(D9&lt;=600000,0.15,0.19)))</f>
        <v>0</v>
      </c>
    </row>
    <row r="11" spans="1:4" ht="15" customHeight="1" x14ac:dyDescent="0.25">
      <c r="A11" s="46" t="s">
        <v>256</v>
      </c>
      <c r="B11" s="26">
        <f>B10+C10+D10</f>
        <v>26521.462000000007</v>
      </c>
      <c r="C11" s="214" t="s">
        <v>257</v>
      </c>
      <c r="D11" s="214"/>
    </row>
    <row r="13" spans="1:4" ht="21.75" customHeight="1" x14ac:dyDescent="0.25">
      <c r="A13" s="195" t="s">
        <v>258</v>
      </c>
      <c r="B13" s="195"/>
      <c r="C13" s="195"/>
      <c r="D13" s="195"/>
    </row>
    <row r="14" spans="1:4" ht="15" customHeight="1" x14ac:dyDescent="0.25">
      <c r="A14" s="15" t="s">
        <v>2</v>
      </c>
      <c r="B14" s="15" t="s">
        <v>227</v>
      </c>
      <c r="C14" s="15" t="s">
        <v>228</v>
      </c>
      <c r="D14" s="15" t="s">
        <v>229</v>
      </c>
    </row>
    <row r="15" spans="1:4" ht="15" customHeight="1" x14ac:dyDescent="0.25">
      <c r="A15" s="16" t="s">
        <v>249</v>
      </c>
      <c r="B15" s="17" t="s">
        <v>259</v>
      </c>
      <c r="C15" s="17" t="s">
        <v>259</v>
      </c>
      <c r="D15" s="17" t="s">
        <v>259</v>
      </c>
    </row>
    <row r="16" spans="1:4" ht="15" customHeight="1" x14ac:dyDescent="0.25">
      <c r="A16" s="43" t="s">
        <v>260</v>
      </c>
      <c r="B16" s="25">
        <f>(Wertermittlung!C30+Wertermittlung!E30)/3</f>
        <v>264101.40000000002</v>
      </c>
      <c r="C16" s="25">
        <f>B16</f>
        <v>264101.40000000002</v>
      </c>
      <c r="D16" s="25">
        <f>B16</f>
        <v>264101.40000000002</v>
      </c>
    </row>
    <row r="17" spans="1:4" ht="15" customHeight="1" x14ac:dyDescent="0.25">
      <c r="A17" s="16" t="s">
        <v>254</v>
      </c>
      <c r="B17" s="52">
        <f>B8</f>
        <v>400000</v>
      </c>
      <c r="C17" s="52">
        <f>C8</f>
        <v>400000</v>
      </c>
      <c r="D17" s="52">
        <f>D8</f>
        <v>400000</v>
      </c>
    </row>
    <row r="18" spans="1:4" ht="15" customHeight="1" x14ac:dyDescent="0.25">
      <c r="A18" s="43" t="s">
        <v>232</v>
      </c>
      <c r="B18" s="25">
        <f>MAX(B16-B17,0)</f>
        <v>0</v>
      </c>
      <c r="C18" s="25">
        <f>MAX(C16-C17,0)</f>
        <v>0</v>
      </c>
      <c r="D18" s="25">
        <f>MAX(D16-D17,0)</f>
        <v>0</v>
      </c>
    </row>
    <row r="19" spans="1:4" ht="15" customHeight="1" x14ac:dyDescent="0.25">
      <c r="A19" s="28" t="s">
        <v>255</v>
      </c>
      <c r="B19" s="37">
        <f>MAX(B18,0)*IF(B18&lt;=75000,0.07,IF(B18&lt;=300000,0.11,IF(B18&lt;=600000,0.15,0.19)))</f>
        <v>0</v>
      </c>
      <c r="C19" s="37">
        <f>MAX(C18,0)*IF(C18&lt;=75000,0.07,IF(C18&lt;=300000,0.11,IF(C18&lt;=600000,0.15,0.19)))</f>
        <v>0</v>
      </c>
      <c r="D19" s="37">
        <f>MAX(D18,0)*IF(D18&lt;=75000,0.07,IF(D18&lt;=300000,0.11,IF(D18&lt;=600000,0.15,0.19)))</f>
        <v>0</v>
      </c>
    </row>
    <row r="20" spans="1:4" ht="15" customHeight="1" x14ac:dyDescent="0.25">
      <c r="A20" s="46" t="s">
        <v>261</v>
      </c>
      <c r="B20" s="26">
        <f>B19+C19+D19</f>
        <v>0</v>
      </c>
      <c r="C20" s="214" t="s">
        <v>262</v>
      </c>
      <c r="D20" s="214"/>
    </row>
    <row r="22" spans="1:4" ht="21.75" customHeight="1" x14ac:dyDescent="0.25">
      <c r="A22" s="195" t="s">
        <v>263</v>
      </c>
      <c r="B22" s="195"/>
      <c r="C22" s="195"/>
      <c r="D22" s="195"/>
    </row>
    <row r="23" spans="1:4" ht="15" customHeight="1" x14ac:dyDescent="0.25">
      <c r="A23" s="15" t="s">
        <v>2</v>
      </c>
      <c r="B23" s="6" t="s">
        <v>264</v>
      </c>
      <c r="C23" s="6"/>
      <c r="D23" s="6"/>
    </row>
    <row r="24" spans="1:4" ht="15" customHeight="1" x14ac:dyDescent="0.25">
      <c r="A24" s="16" t="s">
        <v>265</v>
      </c>
      <c r="B24" s="209">
        <f>Wertermittlung!C30+Wertermittlung!E30</f>
        <v>792304.20000000007</v>
      </c>
      <c r="C24" s="209"/>
      <c r="D24" s="209"/>
    </row>
    <row r="25" spans="1:4" ht="15" customHeight="1" x14ac:dyDescent="0.25">
      <c r="A25" s="18" t="s">
        <v>266</v>
      </c>
      <c r="B25" s="210">
        <f>(Wertermittlung!C24+Wertermittlung!E24)*0.035</f>
        <v>30811.83</v>
      </c>
      <c r="C25" s="210"/>
      <c r="D25" s="210"/>
    </row>
    <row r="26" spans="1:4" ht="15" customHeight="1" x14ac:dyDescent="0.25">
      <c r="A26" s="16" t="s">
        <v>267</v>
      </c>
      <c r="B26" s="215">
        <v>8.06</v>
      </c>
      <c r="C26" s="215"/>
      <c r="D26" s="215"/>
    </row>
    <row r="27" spans="1:4" ht="15" customHeight="1" x14ac:dyDescent="0.25">
      <c r="A27" s="18" t="s">
        <v>268</v>
      </c>
      <c r="B27" s="210">
        <f>C25*C26</f>
        <v>0</v>
      </c>
      <c r="C27" s="210"/>
      <c r="D27" s="210"/>
    </row>
    <row r="28" spans="1:4" ht="15" customHeight="1" x14ac:dyDescent="0.25">
      <c r="A28" s="24" t="s">
        <v>269</v>
      </c>
      <c r="B28" s="209">
        <f>MAX(C24-C27,0)</f>
        <v>0</v>
      </c>
      <c r="C28" s="209"/>
      <c r="D28" s="209"/>
    </row>
    <row r="29" spans="1:4" ht="15" customHeight="1" x14ac:dyDescent="0.25">
      <c r="A29" s="18" t="s">
        <v>270</v>
      </c>
      <c r="B29" s="210">
        <f>400000*3</f>
        <v>1200000</v>
      </c>
      <c r="C29" s="210"/>
      <c r="D29" s="210"/>
    </row>
    <row r="30" spans="1:4" ht="15" customHeight="1" x14ac:dyDescent="0.25">
      <c r="A30" s="16" t="s">
        <v>271</v>
      </c>
      <c r="B30" s="209">
        <f>MAX(C28-C29,0)</f>
        <v>0</v>
      </c>
      <c r="C30" s="209"/>
      <c r="D30" s="209"/>
    </row>
    <row r="31" spans="1:4" ht="15" customHeight="1" x14ac:dyDescent="0.25">
      <c r="A31" s="127" t="s">
        <v>272</v>
      </c>
      <c r="B31" s="216">
        <f>MAX(C30,0)*IF(C30&lt;=75000,0.07,IF(C30&lt;=300000,0.11,IF(C30&lt;=600000,0.15,0.19)))</f>
        <v>0</v>
      </c>
      <c r="C31" s="216"/>
      <c r="D31" s="216"/>
    </row>
    <row r="33" spans="1:4" ht="21.75" customHeight="1" x14ac:dyDescent="0.25">
      <c r="A33" s="202" t="s">
        <v>273</v>
      </c>
      <c r="B33" s="202"/>
      <c r="C33" s="202"/>
      <c r="D33" s="202"/>
    </row>
    <row r="34" spans="1:4" ht="15" customHeight="1" x14ac:dyDescent="0.25">
      <c r="A34" s="15" t="s">
        <v>274</v>
      </c>
      <c r="B34" s="15" t="s">
        <v>275</v>
      </c>
      <c r="C34" s="15" t="s">
        <v>276</v>
      </c>
      <c r="D34" s="15" t="s">
        <v>277</v>
      </c>
    </row>
    <row r="35" spans="1:4" ht="15" customHeight="1" x14ac:dyDescent="0.25">
      <c r="A35" s="18" t="s">
        <v>278</v>
      </c>
      <c r="B35" s="38">
        <f>B11</f>
        <v>26521.462000000007</v>
      </c>
      <c r="C35" s="18" t="s">
        <v>279</v>
      </c>
      <c r="D35" s="18" t="s">
        <v>280</v>
      </c>
    </row>
    <row r="36" spans="1:4" ht="15" customHeight="1" x14ac:dyDescent="0.25">
      <c r="A36" s="28" t="s">
        <v>281</v>
      </c>
      <c r="B36" s="37">
        <f>B20</f>
        <v>0</v>
      </c>
      <c r="C36" s="128" t="s">
        <v>282</v>
      </c>
      <c r="D36" s="128" t="s">
        <v>283</v>
      </c>
    </row>
    <row r="37" spans="1:4" ht="15" customHeight="1" x14ac:dyDescent="0.25">
      <c r="A37" s="18" t="s">
        <v>284</v>
      </c>
      <c r="B37" s="38">
        <f>C31</f>
        <v>0</v>
      </c>
      <c r="C37" s="18" t="s">
        <v>285</v>
      </c>
      <c r="D37" s="18" t="s">
        <v>286</v>
      </c>
    </row>
    <row r="38" spans="1:4" ht="49.5" customHeight="1" x14ac:dyDescent="0.25">
      <c r="A38" s="2" t="s">
        <v>287</v>
      </c>
      <c r="B38" s="2"/>
      <c r="C38" s="2"/>
      <c r="D38" s="2"/>
    </row>
    <row r="40" spans="1:4" ht="9.75" customHeight="1" x14ac:dyDescent="0.25"/>
    <row r="41" spans="1:4" ht="25.5" customHeight="1" x14ac:dyDescent="0.25">
      <c r="A41" s="202" t="s">
        <v>288</v>
      </c>
      <c r="B41" s="202"/>
      <c r="C41" s="202"/>
      <c r="D41" s="202"/>
    </row>
    <row r="42" spans="1:4" ht="21.75" customHeight="1" x14ac:dyDescent="0.25">
      <c r="A42" s="13" t="s">
        <v>289</v>
      </c>
      <c r="B42" s="13"/>
      <c r="C42" s="13"/>
      <c r="D42" s="13"/>
    </row>
    <row r="44" spans="1:4" ht="19.5" customHeight="1" x14ac:dyDescent="0.25">
      <c r="A44" s="195" t="s">
        <v>290</v>
      </c>
      <c r="B44" s="195"/>
      <c r="C44" s="195"/>
      <c r="D44" s="195"/>
    </row>
    <row r="45" spans="1:4" ht="31.5" customHeight="1" x14ac:dyDescent="0.25">
      <c r="A45" s="15" t="s">
        <v>291</v>
      </c>
      <c r="B45" s="15" t="s">
        <v>292</v>
      </c>
      <c r="C45" s="15" t="s">
        <v>293</v>
      </c>
      <c r="D45" s="15" t="s">
        <v>294</v>
      </c>
    </row>
    <row r="46" spans="1:4" ht="15" customHeight="1" x14ac:dyDescent="0.25">
      <c r="A46" s="58" t="s">
        <v>295</v>
      </c>
      <c r="B46" s="52">
        <f>Marktwert!B21</f>
        <v>0</v>
      </c>
      <c r="C46" s="50">
        <f>IFERROR(B46/(B46+B47),0)</f>
        <v>0</v>
      </c>
      <c r="D46" s="53">
        <f>(B46+B47)/3</f>
        <v>0</v>
      </c>
    </row>
    <row r="47" spans="1:4" ht="15" customHeight="1" x14ac:dyDescent="0.25">
      <c r="A47" s="74" t="s">
        <v>296</v>
      </c>
      <c r="B47" s="27">
        <f>Marktwert!D21</f>
        <v>0</v>
      </c>
      <c r="C47" s="51">
        <f>IFERROR(B47/(B46+B47),0)</f>
        <v>0</v>
      </c>
      <c r="D47" s="25">
        <f>(B46+B47)/3</f>
        <v>0</v>
      </c>
    </row>
    <row r="48" spans="1:4" ht="15" customHeight="1" x14ac:dyDescent="0.25">
      <c r="A48" s="84" t="s">
        <v>297</v>
      </c>
      <c r="B48" s="26">
        <f>B46+B47</f>
        <v>0</v>
      </c>
      <c r="C48" s="129">
        <f>100%</f>
        <v>1</v>
      </c>
      <c r="D48" s="26">
        <f>(B46+B47)/3</f>
        <v>0</v>
      </c>
    </row>
    <row r="50" spans="1:4" ht="21.75" customHeight="1" x14ac:dyDescent="0.25">
      <c r="A50" s="195" t="s">
        <v>298</v>
      </c>
      <c r="B50" s="195"/>
      <c r="C50" s="195"/>
      <c r="D50" s="195"/>
    </row>
    <row r="51" spans="1:4" ht="21.75" customHeight="1" x14ac:dyDescent="0.25">
      <c r="A51" s="15" t="s">
        <v>2</v>
      </c>
      <c r="B51" s="15" t="s">
        <v>227</v>
      </c>
      <c r="C51" s="15" t="s">
        <v>228</v>
      </c>
      <c r="D51" s="15" t="s">
        <v>229</v>
      </c>
    </row>
    <row r="52" spans="1:4" ht="15" customHeight="1" x14ac:dyDescent="0.25">
      <c r="A52" s="58" t="s">
        <v>249</v>
      </c>
      <c r="B52" s="75" t="s">
        <v>299</v>
      </c>
      <c r="C52" s="75" t="s">
        <v>300</v>
      </c>
      <c r="D52" s="75" t="s">
        <v>301</v>
      </c>
    </row>
    <row r="53" spans="1:4" ht="15" customHeight="1" x14ac:dyDescent="0.25">
      <c r="A53" s="74" t="s">
        <v>302</v>
      </c>
      <c r="B53" s="27">
        <f>B46</f>
        <v>0</v>
      </c>
      <c r="C53" s="27">
        <f>B47</f>
        <v>0</v>
      </c>
      <c r="D53" s="25">
        <f>B48/3</f>
        <v>0</v>
      </c>
    </row>
    <row r="54" spans="1:4" ht="15" customHeight="1" x14ac:dyDescent="0.25">
      <c r="A54" s="58" t="s">
        <v>303</v>
      </c>
      <c r="B54" s="53">
        <f>B48/3</f>
        <v>0</v>
      </c>
      <c r="C54" s="53">
        <f>B48/3</f>
        <v>0</v>
      </c>
      <c r="D54" s="53">
        <f>B48/3</f>
        <v>0</v>
      </c>
    </row>
    <row r="55" spans="1:4" ht="15" customHeight="1" x14ac:dyDescent="0.25">
      <c r="A55" s="74" t="s">
        <v>304</v>
      </c>
      <c r="B55" s="130">
        <f>B53-B54</f>
        <v>0</v>
      </c>
      <c r="C55" s="130">
        <f>C53-C54</f>
        <v>0</v>
      </c>
      <c r="D55" s="130">
        <f>D53-D54</f>
        <v>0</v>
      </c>
    </row>
    <row r="56" spans="1:4" ht="15" customHeight="1" x14ac:dyDescent="0.25">
      <c r="A56" s="78" t="s">
        <v>305</v>
      </c>
      <c r="B56" s="131">
        <f>MAX(B54-B53, 0)</f>
        <v>0</v>
      </c>
      <c r="C56" s="131">
        <f>MAX(C53-C54, 0)</f>
        <v>0</v>
      </c>
      <c r="D56" s="132" t="s">
        <v>306</v>
      </c>
    </row>
    <row r="58" spans="1:4" ht="21.75" customHeight="1" x14ac:dyDescent="0.25">
      <c r="A58" s="195" t="s">
        <v>307</v>
      </c>
      <c r="B58" s="195"/>
      <c r="C58" s="195"/>
      <c r="D58" s="195"/>
    </row>
    <row r="59" spans="1:4" ht="21.75" customHeight="1" x14ac:dyDescent="0.25">
      <c r="A59" s="15" t="s">
        <v>2</v>
      </c>
      <c r="B59" s="15" t="s">
        <v>308</v>
      </c>
      <c r="C59" s="15" t="s">
        <v>309</v>
      </c>
      <c r="D59" s="15" t="s">
        <v>310</v>
      </c>
    </row>
    <row r="60" spans="1:4" ht="15" customHeight="1" x14ac:dyDescent="0.25">
      <c r="A60" s="58" t="s">
        <v>311</v>
      </c>
      <c r="B60" s="52">
        <f>B48/3</f>
        <v>0</v>
      </c>
      <c r="C60" s="52">
        <f>B48/3</f>
        <v>0</v>
      </c>
      <c r="D60" s="52">
        <f>B48/3</f>
        <v>0</v>
      </c>
    </row>
    <row r="61" spans="1:4" ht="15" customHeight="1" x14ac:dyDescent="0.25">
      <c r="A61" s="81" t="s">
        <v>312</v>
      </c>
      <c r="B61" s="133" t="s">
        <v>313</v>
      </c>
      <c r="C61" s="133" t="s">
        <v>313</v>
      </c>
      <c r="D61" s="133" t="s">
        <v>313</v>
      </c>
    </row>
    <row r="63" spans="1:4" ht="54.75" customHeight="1" x14ac:dyDescent="0.25">
      <c r="A63" s="2" t="s">
        <v>314</v>
      </c>
      <c r="B63" s="2"/>
      <c r="C63" s="2"/>
      <c r="D63" s="2"/>
    </row>
  </sheetData>
  <mergeCells count="24">
    <mergeCell ref="A44:D44"/>
    <mergeCell ref="A50:D50"/>
    <mergeCell ref="A58:D58"/>
    <mergeCell ref="A63:D63"/>
    <mergeCell ref="B31:D31"/>
    <mergeCell ref="A33:D33"/>
    <mergeCell ref="A38:D38"/>
    <mergeCell ref="A41:D41"/>
    <mergeCell ref="A42:D42"/>
    <mergeCell ref="B26:D26"/>
    <mergeCell ref="B27:D27"/>
    <mergeCell ref="B28:D28"/>
    <mergeCell ref="B29:D29"/>
    <mergeCell ref="B30:D30"/>
    <mergeCell ref="C20:D20"/>
    <mergeCell ref="A22:D22"/>
    <mergeCell ref="B23:D23"/>
    <mergeCell ref="B24:D24"/>
    <mergeCell ref="B25:D25"/>
    <mergeCell ref="A1:D1"/>
    <mergeCell ref="A2:D2"/>
    <mergeCell ref="A4:D4"/>
    <mergeCell ref="C11:D11"/>
    <mergeCell ref="A13:D1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topLeftCell="A39" zoomScaleNormal="100" workbookViewId="0">
      <selection sqref="A1:H1"/>
    </sheetView>
  </sheetViews>
  <sheetFormatPr baseColWidth="10" defaultColWidth="8.7109375" defaultRowHeight="15" customHeight="1" x14ac:dyDescent="0.25"/>
  <cols>
    <col min="1" max="1" width="34" customWidth="1"/>
    <col min="2" max="2" width="14" customWidth="1"/>
    <col min="3" max="3" width="16" customWidth="1"/>
    <col min="4" max="7" width="15" customWidth="1"/>
    <col min="8" max="8" width="22" customWidth="1"/>
  </cols>
  <sheetData>
    <row r="1" spans="1:8" ht="30" customHeight="1" x14ac:dyDescent="0.25">
      <c r="A1" s="14" t="s">
        <v>315</v>
      </c>
      <c r="B1" s="14"/>
      <c r="C1" s="14"/>
      <c r="D1" s="14"/>
      <c r="E1" s="14"/>
      <c r="F1" s="14"/>
      <c r="G1" s="14"/>
      <c r="H1" s="14"/>
    </row>
    <row r="2" spans="1:8" ht="19.5" customHeight="1" x14ac:dyDescent="0.25">
      <c r="A2" s="13" t="s">
        <v>316</v>
      </c>
      <c r="B2" s="13"/>
      <c r="C2" s="13"/>
      <c r="D2" s="13"/>
      <c r="E2" s="13"/>
      <c r="F2" s="13"/>
      <c r="G2" s="13"/>
      <c r="H2" s="13"/>
    </row>
    <row r="4" spans="1:8" ht="19.5" customHeight="1" x14ac:dyDescent="0.25">
      <c r="A4" s="12" t="s">
        <v>317</v>
      </c>
      <c r="B4" s="12"/>
      <c r="C4" s="12"/>
      <c r="D4" s="12"/>
      <c r="E4" s="12"/>
      <c r="F4" s="12"/>
      <c r="G4" s="12"/>
      <c r="H4" s="12"/>
    </row>
    <row r="5" spans="1:8" ht="31.5" customHeight="1" x14ac:dyDescent="0.25">
      <c r="A5" s="15" t="s">
        <v>318</v>
      </c>
      <c r="B5" s="15" t="s">
        <v>319</v>
      </c>
      <c r="C5" s="15" t="s">
        <v>320</v>
      </c>
      <c r="D5" s="15" t="s">
        <v>321</v>
      </c>
      <c r="E5" s="11" t="s">
        <v>322</v>
      </c>
      <c r="F5" s="11"/>
      <c r="G5" s="11"/>
      <c r="H5" s="11"/>
    </row>
    <row r="6" spans="1:8" ht="19.5" customHeight="1" x14ac:dyDescent="0.25">
      <c r="A6" s="58" t="s">
        <v>323</v>
      </c>
      <c r="B6" s="134">
        <v>12.5</v>
      </c>
      <c r="C6" s="134">
        <v>14</v>
      </c>
      <c r="D6" s="134">
        <v>16.5</v>
      </c>
      <c r="E6" s="10" t="s">
        <v>324</v>
      </c>
      <c r="F6" s="10"/>
      <c r="G6" s="10"/>
      <c r="H6" s="10"/>
    </row>
    <row r="7" spans="1:8" ht="19.5" customHeight="1" x14ac:dyDescent="0.25">
      <c r="A7" s="62" t="s">
        <v>325</v>
      </c>
      <c r="B7" s="135">
        <v>11.5</v>
      </c>
      <c r="C7" s="135">
        <v>13</v>
      </c>
      <c r="D7" s="135">
        <v>15</v>
      </c>
      <c r="E7" s="9" t="s">
        <v>324</v>
      </c>
      <c r="F7" s="9"/>
      <c r="G7" s="9"/>
      <c r="H7" s="9"/>
    </row>
    <row r="8" spans="1:8" ht="19.5" customHeight="1" x14ac:dyDescent="0.25">
      <c r="A8" s="58" t="s">
        <v>326</v>
      </c>
      <c r="B8" s="134">
        <v>10.5</v>
      </c>
      <c r="C8" s="134">
        <v>12</v>
      </c>
      <c r="D8" s="134">
        <v>13.5</v>
      </c>
      <c r="E8" s="10" t="s">
        <v>327</v>
      </c>
      <c r="F8" s="10"/>
      <c r="G8" s="10"/>
      <c r="H8" s="10"/>
    </row>
    <row r="9" spans="1:8" ht="19.5" customHeight="1" x14ac:dyDescent="0.25">
      <c r="A9" s="62" t="s">
        <v>328</v>
      </c>
      <c r="B9" s="135">
        <v>11</v>
      </c>
      <c r="C9" s="135">
        <v>13.5</v>
      </c>
      <c r="D9" s="135">
        <v>16</v>
      </c>
      <c r="E9" s="9" t="s">
        <v>329</v>
      </c>
      <c r="F9" s="9"/>
      <c r="G9" s="9"/>
      <c r="H9" s="9"/>
    </row>
    <row r="10" spans="1:8" ht="19.5" customHeight="1" x14ac:dyDescent="0.25">
      <c r="A10" s="58" t="s">
        <v>330</v>
      </c>
      <c r="B10" s="136" t="s">
        <v>331</v>
      </c>
      <c r="C10" s="136" t="s">
        <v>332</v>
      </c>
      <c r="D10" s="136" t="s">
        <v>333</v>
      </c>
      <c r="E10" s="10" t="s">
        <v>334</v>
      </c>
      <c r="F10" s="10"/>
      <c r="G10" s="10"/>
      <c r="H10" s="10"/>
    </row>
    <row r="11" spans="1:8" ht="19.5" customHeight="1" x14ac:dyDescent="0.25">
      <c r="A11" s="62" t="s">
        <v>335</v>
      </c>
      <c r="B11" s="137" t="s">
        <v>336</v>
      </c>
      <c r="C11" s="137" t="s">
        <v>337</v>
      </c>
      <c r="D11" s="137" t="s">
        <v>338</v>
      </c>
      <c r="E11" s="9" t="s">
        <v>334</v>
      </c>
      <c r="F11" s="9"/>
      <c r="G11" s="9"/>
      <c r="H11" s="9"/>
    </row>
    <row r="13" spans="1:8" ht="19.5" customHeight="1" x14ac:dyDescent="0.25">
      <c r="A13" s="12" t="s">
        <v>339</v>
      </c>
      <c r="B13" s="12"/>
      <c r="C13" s="12"/>
      <c r="D13" s="12"/>
      <c r="E13" s="12"/>
      <c r="F13" s="12"/>
      <c r="G13" s="12"/>
      <c r="H13" s="12"/>
    </row>
    <row r="14" spans="1:8" ht="39.75" customHeight="1" x14ac:dyDescent="0.25">
      <c r="A14" s="15" t="s">
        <v>38</v>
      </c>
      <c r="B14" s="15" t="s">
        <v>340</v>
      </c>
      <c r="C14" s="15" t="s">
        <v>341</v>
      </c>
      <c r="D14" s="15" t="s">
        <v>342</v>
      </c>
      <c r="E14" s="15" t="s">
        <v>343</v>
      </c>
      <c r="F14" s="15" t="s">
        <v>344</v>
      </c>
      <c r="G14" s="15" t="s">
        <v>345</v>
      </c>
      <c r="H14" s="15" t="s">
        <v>145</v>
      </c>
    </row>
    <row r="15" spans="1:8" ht="21.75" customHeight="1" x14ac:dyDescent="0.25">
      <c r="A15" s="57" t="s">
        <v>346</v>
      </c>
      <c r="B15" s="101">
        <v>160</v>
      </c>
      <c r="C15" s="134">
        <v>11.5</v>
      </c>
      <c r="D15" s="53">
        <f>B15*C15</f>
        <v>1840</v>
      </c>
      <c r="E15" s="53">
        <f>D15*12</f>
        <v>22080</v>
      </c>
      <c r="F15" s="35">
        <v>280</v>
      </c>
      <c r="G15" s="53">
        <f>D15+F15</f>
        <v>2120</v>
      </c>
      <c r="H15" s="69" t="s">
        <v>347</v>
      </c>
    </row>
    <row r="16" spans="1:8" ht="30" customHeight="1" x14ac:dyDescent="0.25">
      <c r="A16" s="8" t="s">
        <v>348</v>
      </c>
      <c r="B16" s="8"/>
      <c r="C16" s="8"/>
      <c r="D16" s="8"/>
      <c r="E16" s="8"/>
      <c r="F16" s="8"/>
      <c r="G16" s="8"/>
      <c r="H16" s="8"/>
    </row>
    <row r="18" spans="1:8" ht="19.5" customHeight="1" x14ac:dyDescent="0.25">
      <c r="A18" s="7" t="s">
        <v>349</v>
      </c>
      <c r="B18" s="7"/>
      <c r="C18" s="7"/>
      <c r="D18" s="7"/>
      <c r="E18" s="7"/>
      <c r="F18" s="7"/>
      <c r="G18" s="7"/>
      <c r="H18" s="7"/>
    </row>
    <row r="19" spans="1:8" ht="21.75" customHeight="1" x14ac:dyDescent="0.25">
      <c r="A19" s="15" t="s">
        <v>350</v>
      </c>
      <c r="B19" s="15" t="s">
        <v>351</v>
      </c>
      <c r="C19" s="15" t="s">
        <v>352</v>
      </c>
      <c r="D19" s="15" t="s">
        <v>57</v>
      </c>
      <c r="E19" s="6" t="s">
        <v>172</v>
      </c>
      <c r="F19" s="6"/>
      <c r="G19" s="6"/>
      <c r="H19" s="6"/>
    </row>
    <row r="20" spans="1:8" ht="19.5" customHeight="1" x14ac:dyDescent="0.25">
      <c r="A20" s="58" t="s">
        <v>353</v>
      </c>
      <c r="B20" s="53">
        <f>D15</f>
        <v>1840</v>
      </c>
      <c r="C20" s="53">
        <f>B20*12</f>
        <v>22080</v>
      </c>
      <c r="D20" s="75" t="s">
        <v>7</v>
      </c>
      <c r="E20" s="10" t="s">
        <v>354</v>
      </c>
      <c r="F20" s="10"/>
      <c r="G20" s="10"/>
      <c r="H20" s="10"/>
    </row>
    <row r="21" spans="1:8" ht="19.5" customHeight="1" x14ac:dyDescent="0.25">
      <c r="A21" s="62" t="s">
        <v>355</v>
      </c>
      <c r="B21" s="38">
        <f>-D15*0.05</f>
        <v>-92</v>
      </c>
      <c r="C21" s="38">
        <f>B21*12</f>
        <v>-1104</v>
      </c>
      <c r="D21" s="138">
        <f>ABS(B21/B20)</f>
        <v>0.05</v>
      </c>
      <c r="E21" s="9" t="s">
        <v>356</v>
      </c>
      <c r="F21" s="9"/>
      <c r="G21" s="9"/>
      <c r="H21" s="9"/>
    </row>
    <row r="22" spans="1:8" ht="19.5" customHeight="1" x14ac:dyDescent="0.25">
      <c r="A22" s="58" t="s">
        <v>357</v>
      </c>
      <c r="B22" s="53">
        <f>-Marktwert!B39*0.015/12</f>
        <v>-590</v>
      </c>
      <c r="C22" s="53">
        <f>B22*12</f>
        <v>-7080</v>
      </c>
      <c r="D22" s="50">
        <f>ABS(B22/B20)</f>
        <v>0.32065217391304346</v>
      </c>
      <c r="E22" s="10" t="s">
        <v>358</v>
      </c>
      <c r="F22" s="10"/>
      <c r="G22" s="10"/>
      <c r="H22" s="10"/>
    </row>
    <row r="23" spans="1:8" ht="19.5" customHeight="1" x14ac:dyDescent="0.25">
      <c r="A23" s="62" t="s">
        <v>359</v>
      </c>
      <c r="B23" s="38">
        <f>-D15*0.03</f>
        <v>-55.199999999999996</v>
      </c>
      <c r="C23" s="38">
        <f>B23*12</f>
        <v>-662.4</v>
      </c>
      <c r="D23" s="138">
        <f>ABS(B23/B20)</f>
        <v>0.03</v>
      </c>
      <c r="E23" s="9" t="s">
        <v>360</v>
      </c>
      <c r="F23" s="9"/>
      <c r="G23" s="9"/>
      <c r="H23" s="9"/>
    </row>
    <row r="24" spans="1:8" ht="19.5" customHeight="1" x14ac:dyDescent="0.25">
      <c r="A24" s="58" t="s">
        <v>361</v>
      </c>
      <c r="B24" s="35">
        <v>-80</v>
      </c>
      <c r="C24" s="53">
        <f>B24*12</f>
        <v>-960</v>
      </c>
      <c r="D24" s="75" t="s">
        <v>7</v>
      </c>
      <c r="E24" s="10" t="s">
        <v>362</v>
      </c>
      <c r="F24" s="10"/>
      <c r="G24" s="10"/>
      <c r="H24" s="10"/>
    </row>
    <row r="25" spans="1:8" ht="19.5" customHeight="1" x14ac:dyDescent="0.25">
      <c r="A25" s="81" t="s">
        <v>363</v>
      </c>
      <c r="B25" s="139">
        <f>SUM(B20:B24)</f>
        <v>1022.8</v>
      </c>
      <c r="C25" s="139">
        <f>SUM(C20:C24)</f>
        <v>12273.6</v>
      </c>
      <c r="D25" s="120" t="s">
        <v>7</v>
      </c>
      <c r="E25" s="5" t="s">
        <v>364</v>
      </c>
      <c r="F25" s="5"/>
      <c r="G25" s="5"/>
      <c r="H25" s="5"/>
    </row>
    <row r="27" spans="1:8" ht="19.5" customHeight="1" x14ac:dyDescent="0.25">
      <c r="A27" s="12" t="s">
        <v>365</v>
      </c>
      <c r="B27" s="12"/>
      <c r="C27" s="12"/>
      <c r="D27" s="12"/>
      <c r="E27" s="12"/>
      <c r="F27" s="12"/>
      <c r="G27" s="12"/>
      <c r="H27" s="12"/>
    </row>
    <row r="28" spans="1:8" ht="39.75" customHeight="1" x14ac:dyDescent="0.25">
      <c r="A28" s="15" t="s">
        <v>161</v>
      </c>
      <c r="B28" s="15" t="s">
        <v>340</v>
      </c>
      <c r="C28" s="15" t="s">
        <v>341</v>
      </c>
      <c r="D28" s="15" t="s">
        <v>342</v>
      </c>
      <c r="E28" s="15" t="s">
        <v>343</v>
      </c>
      <c r="F28" s="15" t="s">
        <v>344</v>
      </c>
      <c r="G28" s="15" t="s">
        <v>345</v>
      </c>
      <c r="H28" s="15" t="s">
        <v>145</v>
      </c>
    </row>
    <row r="29" spans="1:8" ht="21.75" customHeight="1" x14ac:dyDescent="0.25">
      <c r="A29" s="61" t="s">
        <v>366</v>
      </c>
      <c r="B29" s="140">
        <v>110</v>
      </c>
      <c r="C29" s="135">
        <v>12.5</v>
      </c>
      <c r="D29" s="38">
        <f>B29*C29</f>
        <v>1375</v>
      </c>
      <c r="E29" s="38">
        <f>D29*12</f>
        <v>16500</v>
      </c>
      <c r="F29" s="36">
        <v>200</v>
      </c>
      <c r="G29" s="38">
        <f>D29+F29</f>
        <v>1575</v>
      </c>
      <c r="H29" s="68" t="s">
        <v>367</v>
      </c>
    </row>
    <row r="30" spans="1:8" ht="21.75" customHeight="1" x14ac:dyDescent="0.25">
      <c r="A30" s="57" t="s">
        <v>368</v>
      </c>
      <c r="B30" s="101">
        <v>80</v>
      </c>
      <c r="C30" s="134">
        <v>12</v>
      </c>
      <c r="D30" s="53">
        <f>B30*C30</f>
        <v>960</v>
      </c>
      <c r="E30" s="53">
        <f>D30*12</f>
        <v>11520</v>
      </c>
      <c r="F30" s="35">
        <v>160</v>
      </c>
      <c r="G30" s="53">
        <f>D30+F30</f>
        <v>1120</v>
      </c>
      <c r="H30" s="69" t="s">
        <v>369</v>
      </c>
    </row>
    <row r="31" spans="1:8" ht="21.75" customHeight="1" x14ac:dyDescent="0.25">
      <c r="A31" s="61" t="s">
        <v>370</v>
      </c>
      <c r="B31" s="140">
        <v>110</v>
      </c>
      <c r="C31" s="135">
        <v>12.5</v>
      </c>
      <c r="D31" s="38">
        <f>B31*C31</f>
        <v>1375</v>
      </c>
      <c r="E31" s="38">
        <f>D31*12</f>
        <v>16500</v>
      </c>
      <c r="F31" s="36">
        <v>120</v>
      </c>
      <c r="G31" s="38">
        <f>D31+F31</f>
        <v>1495</v>
      </c>
      <c r="H31" s="68" t="s">
        <v>371</v>
      </c>
    </row>
    <row r="32" spans="1:8" ht="21.75" customHeight="1" x14ac:dyDescent="0.25">
      <c r="A32" s="141" t="s">
        <v>372</v>
      </c>
      <c r="B32" s="142"/>
      <c r="C32" s="142"/>
      <c r="D32" s="143">
        <v>270</v>
      </c>
      <c r="E32" s="144">
        <f>D32*12</f>
        <v>3240</v>
      </c>
      <c r="F32" s="142"/>
      <c r="G32" s="144">
        <f>D32</f>
        <v>270</v>
      </c>
      <c r="H32" s="145" t="s">
        <v>373</v>
      </c>
    </row>
    <row r="33" spans="1:8" ht="24" customHeight="1" x14ac:dyDescent="0.25">
      <c r="A33" s="84" t="s">
        <v>374</v>
      </c>
      <c r="B33" s="146">
        <f>SUM(B29:B31)</f>
        <v>300</v>
      </c>
      <c r="C33" s="116" t="s">
        <v>7</v>
      </c>
      <c r="D33" s="26">
        <f>SUM(D29:D31)+D32</f>
        <v>3980</v>
      </c>
      <c r="E33" s="26">
        <f>D33*12</f>
        <v>47760</v>
      </c>
      <c r="F33" s="26">
        <f>SUM(F29:F31)</f>
        <v>480</v>
      </c>
      <c r="G33" s="26">
        <f>D33+F33</f>
        <v>4460</v>
      </c>
      <c r="H33" s="147" t="s">
        <v>375</v>
      </c>
    </row>
    <row r="35" spans="1:8" ht="19.5" customHeight="1" x14ac:dyDescent="0.25">
      <c r="A35" s="7" t="s">
        <v>376</v>
      </c>
      <c r="B35" s="7"/>
      <c r="C35" s="7"/>
      <c r="D35" s="7"/>
      <c r="E35" s="7"/>
      <c r="F35" s="7"/>
      <c r="G35" s="7"/>
      <c r="H35" s="7"/>
    </row>
    <row r="36" spans="1:8" ht="15" customHeight="1" x14ac:dyDescent="0.25">
      <c r="A36" s="15" t="s">
        <v>350</v>
      </c>
      <c r="B36" s="15" t="s">
        <v>351</v>
      </c>
      <c r="C36" s="15" t="s">
        <v>352</v>
      </c>
      <c r="D36" s="15" t="s">
        <v>57</v>
      </c>
      <c r="E36" s="6" t="s">
        <v>172</v>
      </c>
      <c r="F36" s="6"/>
      <c r="G36" s="6"/>
      <c r="H36" s="6"/>
    </row>
    <row r="37" spans="1:8" ht="19.5" customHeight="1" x14ac:dyDescent="0.25">
      <c r="A37" s="62" t="s">
        <v>377</v>
      </c>
      <c r="B37" s="38">
        <f>D33</f>
        <v>3980</v>
      </c>
      <c r="C37" s="38">
        <f>B37*12</f>
        <v>47760</v>
      </c>
      <c r="D37" s="110" t="s">
        <v>7</v>
      </c>
      <c r="E37" s="9" t="s">
        <v>378</v>
      </c>
      <c r="F37" s="9"/>
      <c r="G37" s="9"/>
      <c r="H37" s="9"/>
    </row>
    <row r="38" spans="1:8" ht="19.5" customHeight="1" x14ac:dyDescent="0.25">
      <c r="A38" s="58" t="s">
        <v>355</v>
      </c>
      <c r="B38" s="53">
        <f>-D33*0.05</f>
        <v>-199</v>
      </c>
      <c r="C38" s="53">
        <f>B38*12</f>
        <v>-2388</v>
      </c>
      <c r="D38" s="50">
        <f>ABS(B38/B37)</f>
        <v>0.05</v>
      </c>
      <c r="E38" s="10" t="s">
        <v>379</v>
      </c>
      <c r="F38" s="10"/>
      <c r="G38" s="10"/>
      <c r="H38" s="10"/>
    </row>
    <row r="39" spans="1:8" ht="19.5" customHeight="1" x14ac:dyDescent="0.25">
      <c r="A39" s="62" t="s">
        <v>380</v>
      </c>
      <c r="B39" s="38">
        <f>-Marktwert!D39*0.008/12</f>
        <v>-980</v>
      </c>
      <c r="C39" s="38">
        <f>B39*12</f>
        <v>-11760</v>
      </c>
      <c r="D39" s="138">
        <f>ABS(B39/B37)</f>
        <v>0.24623115577889448</v>
      </c>
      <c r="E39" s="9" t="s">
        <v>381</v>
      </c>
      <c r="F39" s="9"/>
      <c r="G39" s="9"/>
      <c r="H39" s="9"/>
    </row>
    <row r="40" spans="1:8" ht="19.5" customHeight="1" x14ac:dyDescent="0.25">
      <c r="A40" s="58" t="s">
        <v>359</v>
      </c>
      <c r="B40" s="53">
        <f>-D33*0.03</f>
        <v>-119.39999999999999</v>
      </c>
      <c r="C40" s="53">
        <f>B40*12</f>
        <v>-1432.8</v>
      </c>
      <c r="D40" s="50">
        <f>ABS(B40/B37)</f>
        <v>0.03</v>
      </c>
      <c r="E40" s="10" t="s">
        <v>382</v>
      </c>
      <c r="F40" s="10"/>
      <c r="G40" s="10"/>
      <c r="H40" s="10"/>
    </row>
    <row r="41" spans="1:8" ht="19.5" customHeight="1" x14ac:dyDescent="0.25">
      <c r="A41" s="62" t="s">
        <v>361</v>
      </c>
      <c r="B41" s="36">
        <v>-140</v>
      </c>
      <c r="C41" s="38">
        <f>B41*12</f>
        <v>-1680</v>
      </c>
      <c r="D41" s="110" t="s">
        <v>7</v>
      </c>
      <c r="E41" s="9" t="s">
        <v>383</v>
      </c>
      <c r="F41" s="9"/>
      <c r="G41" s="9"/>
      <c r="H41" s="9"/>
    </row>
    <row r="42" spans="1:8" ht="19.5" customHeight="1" x14ac:dyDescent="0.25">
      <c r="A42" s="81" t="s">
        <v>363</v>
      </c>
      <c r="B42" s="139">
        <f>SUM(B37:B41)</f>
        <v>2541.6</v>
      </c>
      <c r="C42" s="139">
        <f>SUM(C37:C41)</f>
        <v>30499.200000000001</v>
      </c>
      <c r="D42" s="120" t="s">
        <v>7</v>
      </c>
      <c r="E42" s="5" t="s">
        <v>364</v>
      </c>
      <c r="F42" s="5"/>
      <c r="G42" s="5"/>
      <c r="H42" s="5"/>
    </row>
    <row r="44" spans="1:8" ht="19.5" customHeight="1" x14ac:dyDescent="0.25">
      <c r="A44" s="12" t="s">
        <v>384</v>
      </c>
      <c r="B44" s="12"/>
      <c r="C44" s="12"/>
      <c r="D44" s="12"/>
      <c r="E44" s="12"/>
      <c r="F44" s="12"/>
      <c r="G44" s="12"/>
      <c r="H44" s="12"/>
    </row>
    <row r="45" spans="1:8" ht="34.5" customHeight="1" x14ac:dyDescent="0.25">
      <c r="A45" s="15" t="s">
        <v>2</v>
      </c>
      <c r="B45" s="15" t="s">
        <v>385</v>
      </c>
      <c r="C45" s="15" t="s">
        <v>386</v>
      </c>
      <c r="D45" s="15" t="s">
        <v>38</v>
      </c>
      <c r="E45" s="6" t="s">
        <v>200</v>
      </c>
      <c r="F45" s="6"/>
      <c r="G45" s="6"/>
      <c r="H45" s="6"/>
    </row>
    <row r="46" spans="1:8" ht="21.75" customHeight="1" x14ac:dyDescent="0.25">
      <c r="A46" s="58" t="s">
        <v>387</v>
      </c>
      <c r="B46" s="53">
        <f>E15</f>
        <v>22080</v>
      </c>
      <c r="C46" s="52">
        <f>E33</f>
        <v>47760</v>
      </c>
      <c r="D46" s="75" t="s">
        <v>47</v>
      </c>
      <c r="E46" s="10" t="s">
        <v>388</v>
      </c>
      <c r="F46" s="10"/>
      <c r="G46" s="10"/>
      <c r="H46" s="10"/>
    </row>
    <row r="47" spans="1:8" ht="21.75" customHeight="1" x14ac:dyDescent="0.25">
      <c r="A47" s="62" t="s">
        <v>389</v>
      </c>
      <c r="B47" s="38">
        <f>C25</f>
        <v>12273.6</v>
      </c>
      <c r="C47" s="33">
        <f>C42</f>
        <v>30499.200000000001</v>
      </c>
      <c r="D47" s="110" t="s">
        <v>47</v>
      </c>
      <c r="E47" s="9" t="s">
        <v>364</v>
      </c>
      <c r="F47" s="9"/>
      <c r="G47" s="9"/>
      <c r="H47" s="9"/>
    </row>
    <row r="48" spans="1:8" ht="21.75" customHeight="1" x14ac:dyDescent="0.25">
      <c r="A48" s="58" t="s">
        <v>390</v>
      </c>
      <c r="B48" s="148">
        <v>472000</v>
      </c>
      <c r="C48" s="148">
        <v>1470000</v>
      </c>
      <c r="D48" s="75" t="s">
        <v>47</v>
      </c>
      <c r="E48" s="4" t="s">
        <v>391</v>
      </c>
      <c r="F48" s="4"/>
      <c r="G48" s="4"/>
      <c r="H48" s="4"/>
    </row>
    <row r="49" spans="1:8" ht="21.75" customHeight="1" x14ac:dyDescent="0.25">
      <c r="A49" s="61" t="s">
        <v>392</v>
      </c>
      <c r="B49" s="138">
        <f>IFERROR(B46/B48,0)</f>
        <v>4.6779661016949151E-2</v>
      </c>
      <c r="C49" s="149">
        <f>IFERROR(C46/C48,0)</f>
        <v>3.2489795918367349E-2</v>
      </c>
      <c r="D49" s="110" t="s">
        <v>57</v>
      </c>
      <c r="E49" s="9" t="s">
        <v>393</v>
      </c>
      <c r="F49" s="9"/>
      <c r="G49" s="9"/>
      <c r="H49" s="9"/>
    </row>
    <row r="50" spans="1:8" ht="21.75" customHeight="1" x14ac:dyDescent="0.25">
      <c r="A50" s="81" t="s">
        <v>394</v>
      </c>
      <c r="B50" s="150">
        <f>IFERROR(B47/B48,0)</f>
        <v>2.6003389830508476E-2</v>
      </c>
      <c r="C50" s="151">
        <f>IFERROR(C47/C48,0)</f>
        <v>2.0747755102040816E-2</v>
      </c>
      <c r="D50" s="120" t="s">
        <v>57</v>
      </c>
      <c r="E50" s="5" t="s">
        <v>395</v>
      </c>
      <c r="F50" s="5"/>
      <c r="G50" s="5"/>
      <c r="H50" s="5"/>
    </row>
    <row r="51" spans="1:8" ht="21.75" customHeight="1" x14ac:dyDescent="0.25">
      <c r="A51" s="62" t="s">
        <v>396</v>
      </c>
      <c r="B51" s="152">
        <f>IFERROR(B48/B46,0)</f>
        <v>21.376811594202898</v>
      </c>
      <c r="C51" s="153">
        <f>IFERROR(C48/C46,0)</f>
        <v>30.778894472361809</v>
      </c>
      <c r="D51" s="110" t="s">
        <v>397</v>
      </c>
      <c r="E51" s="9" t="s">
        <v>398</v>
      </c>
      <c r="F51" s="9"/>
      <c r="G51" s="9"/>
      <c r="H51" s="9"/>
    </row>
    <row r="52" spans="1:8" ht="21.75" customHeight="1" x14ac:dyDescent="0.25">
      <c r="A52" s="58" t="s">
        <v>399</v>
      </c>
      <c r="B52" s="53">
        <f>B47/12</f>
        <v>1022.8000000000001</v>
      </c>
      <c r="C52" s="52">
        <f>C47/12</f>
        <v>2541.6</v>
      </c>
      <c r="D52" s="75" t="s">
        <v>47</v>
      </c>
      <c r="E52" s="10" t="s">
        <v>400</v>
      </c>
      <c r="F52" s="10"/>
      <c r="G52" s="10"/>
      <c r="H52" s="10"/>
    </row>
    <row r="53" spans="1:8" ht="21.75" customHeight="1" x14ac:dyDescent="0.25">
      <c r="A53" s="62" t="s">
        <v>401</v>
      </c>
      <c r="B53" s="154">
        <f>IFERROR(B48/B47,0)</f>
        <v>38.456524573067398</v>
      </c>
      <c r="C53" s="155">
        <f>IFERROR(C48/C47,0)</f>
        <v>48.197985520931695</v>
      </c>
      <c r="D53" s="110" t="s">
        <v>54</v>
      </c>
      <c r="E53" s="9" t="s">
        <v>402</v>
      </c>
      <c r="F53" s="9"/>
      <c r="G53" s="9"/>
      <c r="H53" s="9"/>
    </row>
    <row r="55" spans="1:8" ht="19.5" customHeight="1" x14ac:dyDescent="0.25">
      <c r="A55" s="12" t="s">
        <v>403</v>
      </c>
      <c r="B55" s="12"/>
      <c r="C55" s="12"/>
      <c r="D55" s="12"/>
      <c r="E55" s="12"/>
      <c r="F55" s="12"/>
      <c r="G55" s="12"/>
      <c r="H55" s="12"/>
    </row>
    <row r="56" spans="1:8" ht="19.5" customHeight="1" x14ac:dyDescent="0.25">
      <c r="A56" s="74" t="s">
        <v>404</v>
      </c>
      <c r="B56" s="156">
        <v>2.5000000000000001E-2</v>
      </c>
      <c r="C56" s="3" t="s">
        <v>405</v>
      </c>
      <c r="D56" s="3"/>
      <c r="E56" s="3"/>
      <c r="F56" s="3"/>
      <c r="G56" s="3"/>
      <c r="H56" s="3"/>
    </row>
    <row r="57" spans="1:8" ht="19.5" customHeight="1" x14ac:dyDescent="0.25">
      <c r="A57" s="74" t="s">
        <v>406</v>
      </c>
      <c r="B57" s="157">
        <v>2026</v>
      </c>
      <c r="C57" s="3" t="s">
        <v>407</v>
      </c>
      <c r="D57" s="3"/>
      <c r="E57" s="3"/>
      <c r="F57" s="3"/>
      <c r="G57" s="3"/>
      <c r="H57" s="3"/>
    </row>
    <row r="59" spans="1:8" ht="31.5" customHeight="1" x14ac:dyDescent="0.25">
      <c r="A59" s="15" t="s">
        <v>51</v>
      </c>
      <c r="B59" s="15" t="s">
        <v>408</v>
      </c>
      <c r="C59" s="15" t="s">
        <v>409</v>
      </c>
      <c r="D59" s="15" t="s">
        <v>410</v>
      </c>
      <c r="E59" s="15" t="s">
        <v>411</v>
      </c>
      <c r="F59" s="15" t="s">
        <v>412</v>
      </c>
      <c r="G59" s="15" t="s">
        <v>413</v>
      </c>
      <c r="H59" s="15" t="s">
        <v>414</v>
      </c>
    </row>
    <row r="60" spans="1:8" ht="19.5" customHeight="1" x14ac:dyDescent="0.25">
      <c r="A60" s="158">
        <f>B57+0</f>
        <v>2026</v>
      </c>
      <c r="B60" s="53">
        <f>C25</f>
        <v>12273.6</v>
      </c>
      <c r="C60" s="52">
        <f>C42</f>
        <v>30499.200000000001</v>
      </c>
      <c r="D60" s="53">
        <f t="shared" ref="D60:D69" si="0">B60+C60</f>
        <v>42772.800000000003</v>
      </c>
      <c r="E60" s="53">
        <f>SUM(B60)</f>
        <v>12273.6</v>
      </c>
      <c r="F60" s="52">
        <f>SUM(C60)</f>
        <v>30499.200000000001</v>
      </c>
      <c r="G60" s="53">
        <f>SUM(D60)</f>
        <v>42772.800000000003</v>
      </c>
      <c r="H60" s="50">
        <f>IFERROR(D60/D60-1,0)</f>
        <v>0</v>
      </c>
    </row>
    <row r="61" spans="1:8" ht="19.5" customHeight="1" x14ac:dyDescent="0.25">
      <c r="A61" s="159">
        <f>B57+1</f>
        <v>2027</v>
      </c>
      <c r="B61" s="38">
        <f t="shared" ref="B61:B69" si="1">B60*(1+$B$56)</f>
        <v>12580.439999999999</v>
      </c>
      <c r="C61" s="33">
        <f t="shared" ref="C61:C69" si="2">C60*(1+$B$56)</f>
        <v>31261.679999999997</v>
      </c>
      <c r="D61" s="38">
        <f t="shared" si="0"/>
        <v>43842.119999999995</v>
      </c>
      <c r="E61" s="38">
        <f>SUM(B60:B61)</f>
        <v>24854.04</v>
      </c>
      <c r="F61" s="33">
        <f>SUM(C60:C61)</f>
        <v>61760.88</v>
      </c>
      <c r="G61" s="38">
        <f>SUM(D60:D61)</f>
        <v>86614.92</v>
      </c>
      <c r="H61" s="138">
        <f>IFERROR(D61/D60-1,0)</f>
        <v>2.4999999999999911E-2</v>
      </c>
    </row>
    <row r="62" spans="1:8" ht="19.5" customHeight="1" x14ac:dyDescent="0.25">
      <c r="A62" s="158">
        <f>B57+2</f>
        <v>2028</v>
      </c>
      <c r="B62" s="53">
        <f t="shared" si="1"/>
        <v>12894.950999999997</v>
      </c>
      <c r="C62" s="52">
        <f t="shared" si="2"/>
        <v>32043.221999999994</v>
      </c>
      <c r="D62" s="53">
        <f t="shared" si="0"/>
        <v>44938.172999999995</v>
      </c>
      <c r="E62" s="53">
        <f>SUM(B60:B62)</f>
        <v>37748.990999999995</v>
      </c>
      <c r="F62" s="52">
        <f>SUM(C60:C62)</f>
        <v>93804.101999999984</v>
      </c>
      <c r="G62" s="53">
        <f>SUM(D60:D62)</f>
        <v>131553.09299999999</v>
      </c>
      <c r="H62" s="50">
        <f>IFERROR(D62/D60-1,0)</f>
        <v>5.062499999999992E-2</v>
      </c>
    </row>
    <row r="63" spans="1:8" ht="19.5" customHeight="1" x14ac:dyDescent="0.25">
      <c r="A63" s="159">
        <f>B57+3</f>
        <v>2029</v>
      </c>
      <c r="B63" s="38">
        <f t="shared" si="1"/>
        <v>13217.324774999995</v>
      </c>
      <c r="C63" s="33">
        <f t="shared" si="2"/>
        <v>32844.302549999993</v>
      </c>
      <c r="D63" s="38">
        <f t="shared" si="0"/>
        <v>46061.627324999987</v>
      </c>
      <c r="E63" s="38">
        <f>SUM(B60:B63)</f>
        <v>50966.315774999988</v>
      </c>
      <c r="F63" s="33">
        <f>SUM(C60:C63)</f>
        <v>126648.40454999998</v>
      </c>
      <c r="G63" s="38">
        <f>SUM(D60:D63)</f>
        <v>177614.72032499997</v>
      </c>
      <c r="H63" s="138">
        <f>IFERROR(D63/D60-1,0)</f>
        <v>7.6890624999999657E-2</v>
      </c>
    </row>
    <row r="64" spans="1:8" ht="19.5" customHeight="1" x14ac:dyDescent="0.25">
      <c r="A64" s="158">
        <f>B57+4</f>
        <v>2030</v>
      </c>
      <c r="B64" s="53">
        <f t="shared" si="1"/>
        <v>13547.757894374994</v>
      </c>
      <c r="C64" s="52">
        <f t="shared" si="2"/>
        <v>33665.410113749989</v>
      </c>
      <c r="D64" s="53">
        <f t="shared" si="0"/>
        <v>47213.16800812498</v>
      </c>
      <c r="E64" s="53">
        <f>SUM(B60:B64)</f>
        <v>64514.073669374979</v>
      </c>
      <c r="F64" s="52">
        <f>SUM(C60:C64)</f>
        <v>160313.81466374997</v>
      </c>
      <c r="G64" s="53">
        <f>SUM(D60:D64)</f>
        <v>224827.88833312495</v>
      </c>
      <c r="H64" s="50">
        <f>IFERROR(D64/D60-1,0)</f>
        <v>0.10381289062499954</v>
      </c>
    </row>
    <row r="65" spans="1:8" ht="19.5" customHeight="1" x14ac:dyDescent="0.25">
      <c r="A65" s="159">
        <f>B57+5</f>
        <v>2031</v>
      </c>
      <c r="B65" s="38">
        <f t="shared" si="1"/>
        <v>13886.451841734368</v>
      </c>
      <c r="C65" s="33">
        <f t="shared" si="2"/>
        <v>34507.045366593738</v>
      </c>
      <c r="D65" s="38">
        <f t="shared" si="0"/>
        <v>48393.497208328103</v>
      </c>
      <c r="E65" s="38">
        <f>SUM(B60:B65)</f>
        <v>78400.525511109343</v>
      </c>
      <c r="F65" s="33">
        <f>SUM(C60:C65)</f>
        <v>194820.8600303437</v>
      </c>
      <c r="G65" s="38">
        <f>SUM(D60:D65)</f>
        <v>273221.38554145303</v>
      </c>
      <c r="H65" s="138">
        <f>IFERROR(D65/D60-1,0)</f>
        <v>0.13140821289062443</v>
      </c>
    </row>
    <row r="66" spans="1:8" ht="19.5" customHeight="1" x14ac:dyDescent="0.25">
      <c r="A66" s="158">
        <f>B57+6</f>
        <v>2032</v>
      </c>
      <c r="B66" s="53">
        <f t="shared" si="1"/>
        <v>14233.613137777726</v>
      </c>
      <c r="C66" s="52">
        <f t="shared" si="2"/>
        <v>35369.721500758576</v>
      </c>
      <c r="D66" s="53">
        <f t="shared" si="0"/>
        <v>49603.334638536304</v>
      </c>
      <c r="E66" s="53">
        <f>SUM(B60:B66)</f>
        <v>92634.138648887063</v>
      </c>
      <c r="F66" s="52">
        <f>SUM(C60:C66)</f>
        <v>230190.58153110227</v>
      </c>
      <c r="G66" s="53">
        <f>SUM(D60:D66)</f>
        <v>322824.72017998935</v>
      </c>
      <c r="H66" s="50">
        <f>IFERROR(D66/D60-1,0)</f>
        <v>0.15969341821288996</v>
      </c>
    </row>
    <row r="67" spans="1:8" ht="19.5" customHeight="1" x14ac:dyDescent="0.25">
      <c r="A67" s="159">
        <f>B57+7</f>
        <v>2033</v>
      </c>
      <c r="B67" s="38">
        <f t="shared" si="1"/>
        <v>14589.453466222167</v>
      </c>
      <c r="C67" s="33">
        <f t="shared" si="2"/>
        <v>36253.964538277534</v>
      </c>
      <c r="D67" s="38">
        <f t="shared" si="0"/>
        <v>50843.418004499705</v>
      </c>
      <c r="E67" s="38">
        <f>SUM(B60:B67)</f>
        <v>107223.59211510923</v>
      </c>
      <c r="F67" s="33">
        <f>SUM(C60:C67)</f>
        <v>266444.54606937978</v>
      </c>
      <c r="G67" s="38">
        <f>SUM(D60:D67)</f>
        <v>373668.13818448904</v>
      </c>
      <c r="H67" s="138">
        <f>IFERROR(D67/D60-1,0)</f>
        <v>0.18868575366821205</v>
      </c>
    </row>
    <row r="68" spans="1:8" ht="19.5" customHeight="1" x14ac:dyDescent="0.25">
      <c r="A68" s="158">
        <f>B57+8</f>
        <v>2034</v>
      </c>
      <c r="B68" s="53">
        <f t="shared" si="1"/>
        <v>14954.18980287772</v>
      </c>
      <c r="C68" s="52">
        <f t="shared" si="2"/>
        <v>37160.313651734468</v>
      </c>
      <c r="D68" s="53">
        <f t="shared" si="0"/>
        <v>52114.50345461219</v>
      </c>
      <c r="E68" s="53">
        <f>SUM(B60:B68)</f>
        <v>122177.78191798695</v>
      </c>
      <c r="F68" s="52">
        <f>SUM(C60:C68)</f>
        <v>303604.85972111428</v>
      </c>
      <c r="G68" s="53">
        <f>SUM(D60:D68)</f>
        <v>425782.6416391012</v>
      </c>
      <c r="H68" s="50">
        <f>IFERROR(D68/D60-1,0)</f>
        <v>0.21840289750991726</v>
      </c>
    </row>
    <row r="69" spans="1:8" ht="19.5" customHeight="1" x14ac:dyDescent="0.25">
      <c r="A69" s="160">
        <f>B57+9</f>
        <v>2035</v>
      </c>
      <c r="B69" s="37">
        <f t="shared" si="1"/>
        <v>15328.044547949661</v>
      </c>
      <c r="C69" s="161">
        <f t="shared" si="2"/>
        <v>38089.321493027826</v>
      </c>
      <c r="D69" s="29">
        <f t="shared" si="0"/>
        <v>53417.366040977489</v>
      </c>
      <c r="E69" s="37">
        <f>SUM(B60:B69)</f>
        <v>137505.82646593661</v>
      </c>
      <c r="F69" s="161">
        <f>SUM(C60:C69)</f>
        <v>341694.18121414213</v>
      </c>
      <c r="G69" s="29">
        <f>SUM(D60:D69)</f>
        <v>479200.00768007868</v>
      </c>
      <c r="H69" s="162">
        <f>IFERROR(D69/D60-1,0)</f>
        <v>0.24886296994766499</v>
      </c>
    </row>
    <row r="71" spans="1:8" ht="45" customHeight="1" x14ac:dyDescent="0.25">
      <c r="A71" s="2" t="s">
        <v>415</v>
      </c>
      <c r="B71" s="2"/>
      <c r="C71" s="2"/>
      <c r="D71" s="2"/>
      <c r="E71" s="2"/>
      <c r="F71" s="2"/>
      <c r="G71" s="2"/>
      <c r="H71" s="2"/>
    </row>
  </sheetData>
  <mergeCells count="43">
    <mergeCell ref="C56:H56"/>
    <mergeCell ref="C57:H57"/>
    <mergeCell ref="A71:H71"/>
    <mergeCell ref="E50:H50"/>
    <mergeCell ref="E51:H51"/>
    <mergeCell ref="E52:H52"/>
    <mergeCell ref="E53:H53"/>
    <mergeCell ref="A55:H55"/>
    <mergeCell ref="E45:H45"/>
    <mergeCell ref="E46:H46"/>
    <mergeCell ref="E47:H47"/>
    <mergeCell ref="E48:H48"/>
    <mergeCell ref="E49:H49"/>
    <mergeCell ref="E39:H39"/>
    <mergeCell ref="E40:H40"/>
    <mergeCell ref="E41:H41"/>
    <mergeCell ref="E42:H42"/>
    <mergeCell ref="A44:H44"/>
    <mergeCell ref="A27:H27"/>
    <mergeCell ref="A35:H35"/>
    <mergeCell ref="E36:H36"/>
    <mergeCell ref="E37:H37"/>
    <mergeCell ref="E38:H38"/>
    <mergeCell ref="E21:H21"/>
    <mergeCell ref="E22:H22"/>
    <mergeCell ref="E23:H23"/>
    <mergeCell ref="E24:H24"/>
    <mergeCell ref="E25:H25"/>
    <mergeCell ref="A13:H13"/>
    <mergeCell ref="A16:H16"/>
    <mergeCell ref="A18:H18"/>
    <mergeCell ref="E19:H19"/>
    <mergeCell ref="E20:H20"/>
    <mergeCell ref="E7:H7"/>
    <mergeCell ref="E8:H8"/>
    <mergeCell ref="E9:H9"/>
    <mergeCell ref="E10:H10"/>
    <mergeCell ref="E11:H11"/>
    <mergeCell ref="A1:H1"/>
    <mergeCell ref="A2:H2"/>
    <mergeCell ref="A4:H4"/>
    <mergeCell ref="E5:H5"/>
    <mergeCell ref="E6:H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1"/>
  <sheetViews>
    <sheetView topLeftCell="A28" zoomScaleNormal="100" workbookViewId="0"/>
  </sheetViews>
  <sheetFormatPr baseColWidth="10" defaultColWidth="8.7109375" defaultRowHeight="15" x14ac:dyDescent="0.25"/>
  <cols>
    <col min="1" max="1" width="5" customWidth="1"/>
    <col min="2" max="2" width="30" customWidth="1"/>
    <col min="3" max="4" width="35" customWidth="1"/>
    <col min="5" max="5" width="22" customWidth="1"/>
  </cols>
  <sheetData>
    <row r="1" spans="1:5" ht="39.75" customHeight="1" x14ac:dyDescent="0.25">
      <c r="A1" s="217" t="s">
        <v>416</v>
      </c>
      <c r="B1" s="217"/>
      <c r="C1" s="217"/>
      <c r="D1" s="217"/>
      <c r="E1" s="217"/>
    </row>
    <row r="2" spans="1:5" ht="15.75" customHeight="1" x14ac:dyDescent="0.25">
      <c r="A2" s="218" t="s">
        <v>417</v>
      </c>
      <c r="B2" s="218"/>
      <c r="C2" s="218"/>
      <c r="D2" s="218"/>
      <c r="E2" s="218"/>
    </row>
    <row r="3" spans="1:5" ht="15.75" customHeight="1" x14ac:dyDescent="0.25"/>
    <row r="4" spans="1:5" ht="39.75" customHeight="1" x14ac:dyDescent="0.25">
      <c r="A4" s="219" t="s">
        <v>418</v>
      </c>
      <c r="B4" s="219"/>
      <c r="C4" s="219"/>
      <c r="D4" s="219"/>
      <c r="E4" s="219"/>
    </row>
    <row r="6" spans="1:5" ht="21.75" customHeight="1" x14ac:dyDescent="0.25">
      <c r="A6" s="163" t="s">
        <v>419</v>
      </c>
      <c r="B6" s="163" t="s">
        <v>420</v>
      </c>
      <c r="C6" s="163" t="s">
        <v>421</v>
      </c>
      <c r="D6" s="163" t="s">
        <v>422</v>
      </c>
      <c r="E6" s="163" t="s">
        <v>423</v>
      </c>
    </row>
    <row r="7" spans="1:5" x14ac:dyDescent="0.25">
      <c r="A7" s="220" t="s">
        <v>424</v>
      </c>
      <c r="B7" s="220"/>
      <c r="C7" s="220"/>
      <c r="D7" s="220"/>
      <c r="E7" s="220"/>
    </row>
    <row r="8" spans="1:5" ht="108" customHeight="1" x14ac:dyDescent="0.25">
      <c r="A8" s="164" t="s">
        <v>425</v>
      </c>
      <c r="B8" s="165" t="s">
        <v>426</v>
      </c>
      <c r="C8" s="166" t="s">
        <v>427</v>
      </c>
      <c r="D8" s="167" t="s">
        <v>428</v>
      </c>
      <c r="E8" s="168" t="s">
        <v>429</v>
      </c>
    </row>
    <row r="9" spans="1:5" ht="42" customHeight="1" x14ac:dyDescent="0.25">
      <c r="A9" s="169"/>
      <c r="B9" s="221" t="s">
        <v>430</v>
      </c>
      <c r="C9" s="221"/>
      <c r="D9" s="221"/>
      <c r="E9" s="221"/>
    </row>
    <row r="10" spans="1:5" ht="54.75" customHeight="1" x14ac:dyDescent="0.25">
      <c r="A10" s="222" t="s">
        <v>425</v>
      </c>
      <c r="B10" s="222"/>
      <c r="C10" s="222"/>
      <c r="D10" s="222"/>
      <c r="E10" s="222"/>
    </row>
    <row r="11" spans="1:5" ht="72" customHeight="1" x14ac:dyDescent="0.25">
      <c r="A11" s="170" t="s">
        <v>431</v>
      </c>
      <c r="B11" s="171" t="s">
        <v>432</v>
      </c>
      <c r="C11" s="172" t="s">
        <v>433</v>
      </c>
      <c r="D11" s="172" t="s">
        <v>434</v>
      </c>
      <c r="E11" s="173" t="s">
        <v>435</v>
      </c>
    </row>
    <row r="12" spans="1:5" ht="15.75" customHeight="1" x14ac:dyDescent="0.25">
      <c r="A12" s="223" t="s">
        <v>436</v>
      </c>
      <c r="B12" s="223"/>
      <c r="C12" s="223"/>
      <c r="D12" s="223"/>
      <c r="E12" s="223"/>
    </row>
    <row r="13" spans="1:5" ht="60" customHeight="1" x14ac:dyDescent="0.25">
      <c r="A13" s="174" t="s">
        <v>436</v>
      </c>
    </row>
    <row r="14" spans="1:5" ht="60" customHeight="1" x14ac:dyDescent="0.25">
      <c r="A14" s="175" t="s">
        <v>437</v>
      </c>
      <c r="B14" s="176" t="s">
        <v>438</v>
      </c>
      <c r="C14" s="177" t="s">
        <v>439</v>
      </c>
      <c r="D14" s="177" t="s">
        <v>440</v>
      </c>
      <c r="E14" s="178" t="s">
        <v>441</v>
      </c>
    </row>
    <row r="15" spans="1:5" ht="60" customHeight="1" x14ac:dyDescent="0.25">
      <c r="A15" s="175" t="s">
        <v>442</v>
      </c>
      <c r="B15" s="176" t="s">
        <v>443</v>
      </c>
      <c r="C15" s="177" t="s">
        <v>444</v>
      </c>
      <c r="D15" s="177" t="s">
        <v>445</v>
      </c>
      <c r="E15" s="178" t="s">
        <v>446</v>
      </c>
    </row>
    <row r="16" spans="1:5" ht="60" customHeight="1" x14ac:dyDescent="0.25">
      <c r="A16" s="175" t="s">
        <v>447</v>
      </c>
      <c r="B16" s="176" t="s">
        <v>448</v>
      </c>
      <c r="C16" s="177" t="s">
        <v>449</v>
      </c>
      <c r="D16" s="177" t="s">
        <v>450</v>
      </c>
      <c r="E16" s="178" t="s">
        <v>451</v>
      </c>
    </row>
    <row r="17" spans="1:5" ht="20.25" customHeight="1" x14ac:dyDescent="0.25">
      <c r="A17" s="175" t="s">
        <v>452</v>
      </c>
      <c r="B17" s="176" t="s">
        <v>453</v>
      </c>
      <c r="C17" s="177" t="s">
        <v>454</v>
      </c>
      <c r="D17" s="177" t="s">
        <v>455</v>
      </c>
      <c r="E17" s="178" t="s">
        <v>456</v>
      </c>
    </row>
    <row r="18" spans="1:5" ht="21.75" customHeight="1" x14ac:dyDescent="0.25">
      <c r="A18" s="224" t="s">
        <v>457</v>
      </c>
      <c r="B18" s="224"/>
      <c r="C18" s="224"/>
      <c r="D18" s="224"/>
      <c r="E18" s="224"/>
    </row>
    <row r="19" spans="1:5" ht="45" customHeight="1" x14ac:dyDescent="0.25">
      <c r="A19" s="175" t="s">
        <v>458</v>
      </c>
      <c r="B19" s="176" t="s">
        <v>459</v>
      </c>
      <c r="C19" s="225" t="s">
        <v>460</v>
      </c>
      <c r="D19" s="225"/>
      <c r="E19" s="225"/>
    </row>
    <row r="20" spans="1:5" ht="45" customHeight="1" x14ac:dyDescent="0.25">
      <c r="A20" s="175" t="s">
        <v>461</v>
      </c>
      <c r="B20" s="176" t="s">
        <v>462</v>
      </c>
      <c r="C20" s="225" t="s">
        <v>463</v>
      </c>
      <c r="D20" s="225"/>
      <c r="E20" s="225"/>
    </row>
    <row r="21" spans="1:5" ht="45" customHeight="1" x14ac:dyDescent="0.25">
      <c r="A21" s="175" t="s">
        <v>464</v>
      </c>
      <c r="B21" s="179"/>
      <c r="C21" s="226"/>
      <c r="D21" s="226"/>
      <c r="E21" s="226"/>
    </row>
    <row r="22" spans="1:5" ht="45" customHeight="1" x14ac:dyDescent="0.25">
      <c r="A22" s="175" t="s">
        <v>465</v>
      </c>
      <c r="B22" s="176" t="s">
        <v>466</v>
      </c>
      <c r="C22" s="225" t="s">
        <v>467</v>
      </c>
      <c r="D22" s="225"/>
      <c r="E22" s="225"/>
    </row>
    <row r="23" spans="1:5" ht="36.75" customHeight="1" x14ac:dyDescent="0.25">
      <c r="A23" s="181" t="s">
        <v>468</v>
      </c>
      <c r="B23" s="182" t="s">
        <v>469</v>
      </c>
      <c r="C23" s="183" t="s">
        <v>470</v>
      </c>
      <c r="D23" s="179"/>
      <c r="E23" s="180"/>
    </row>
    <row r="24" spans="1:5" ht="27.75" customHeight="1" x14ac:dyDescent="0.25">
      <c r="A24" s="191"/>
      <c r="B24" s="191"/>
      <c r="C24" s="191"/>
      <c r="D24" s="191"/>
      <c r="E24" s="191"/>
    </row>
    <row r="25" spans="1:5" ht="45.75" customHeight="1" x14ac:dyDescent="0.25">
      <c r="A25" s="184" t="s">
        <v>471</v>
      </c>
    </row>
    <row r="26" spans="1:5" ht="36.75" customHeight="1" x14ac:dyDescent="0.25">
      <c r="A26" s="185" t="s">
        <v>472</v>
      </c>
      <c r="B26" s="186" t="s">
        <v>252</v>
      </c>
      <c r="C26" s="187" t="s">
        <v>473</v>
      </c>
      <c r="D26" s="179"/>
      <c r="E26" s="179"/>
    </row>
    <row r="27" spans="1:5" ht="24" customHeight="1" x14ac:dyDescent="0.25">
      <c r="A27" s="188" t="s">
        <v>474</v>
      </c>
      <c r="B27" s="179"/>
      <c r="C27" s="179"/>
      <c r="D27" s="179"/>
      <c r="E27" s="179"/>
    </row>
    <row r="28" spans="1:5" ht="409.5" customHeight="1" x14ac:dyDescent="0.25">
      <c r="A28" s="185" t="s">
        <v>475</v>
      </c>
      <c r="B28" s="186" t="s">
        <v>476</v>
      </c>
      <c r="C28" s="187" t="s">
        <v>477</v>
      </c>
      <c r="D28" s="179"/>
      <c r="E28" s="179"/>
    </row>
    <row r="29" spans="1:5" ht="60" customHeight="1" x14ac:dyDescent="0.25">
      <c r="A29" s="185" t="s">
        <v>478</v>
      </c>
      <c r="B29" s="186" t="s">
        <v>479</v>
      </c>
      <c r="C29" s="187" t="s">
        <v>480</v>
      </c>
      <c r="D29" s="179"/>
      <c r="E29" s="179"/>
    </row>
    <row r="31" spans="1:5" ht="409.5" customHeight="1" x14ac:dyDescent="0.25">
      <c r="A31" s="189" t="s">
        <v>481</v>
      </c>
    </row>
  </sheetData>
  <mergeCells count="13">
    <mergeCell ref="C21:E21"/>
    <mergeCell ref="C22:E22"/>
    <mergeCell ref="A24:E24"/>
    <mergeCell ref="A10:E10"/>
    <mergeCell ref="A12:E12"/>
    <mergeCell ref="A18:E18"/>
    <mergeCell ref="C19:E19"/>
    <mergeCell ref="C20:E20"/>
    <mergeCell ref="A1:E1"/>
    <mergeCell ref="A2:E2"/>
    <mergeCell ref="A4:E4"/>
    <mergeCell ref="A7:E7"/>
    <mergeCell ref="B9:E9"/>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Übersicht</vt:lpstr>
      <vt:lpstr>Wertermittlung</vt:lpstr>
      <vt:lpstr>Marktwert</vt:lpstr>
      <vt:lpstr>Schenkungssteuer</vt:lpstr>
      <vt:lpstr>Szenarien</vt:lpstr>
      <vt:lpstr>Mieteinnahmen</vt:lpstr>
      <vt:lpstr>Fairness-Analyse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Jonas Auda</cp:lastModifiedBy>
  <cp:revision>0</cp:revision>
  <dcterms:created xsi:type="dcterms:W3CDTF">2026-03-29T12:09:27Z</dcterms:created>
  <dcterms:modified xsi:type="dcterms:W3CDTF">2026-05-03T17:24:49Z</dcterms:modified>
  <dc:language>en-US</dc:language>
</cp:coreProperties>
</file>