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nas\Documents\Claude\Projects\Finance\"/>
    </mc:Choice>
  </mc:AlternateContent>
  <xr:revisionPtr revIDLastSave="0" documentId="13_ncr:1_{9785C415-FD54-4FA2-9C82-CCC646E22BE0}" xr6:coauthVersionLast="47" xr6:coauthVersionMax="47" xr10:uidLastSave="{00000000-0000-0000-0000-000000000000}"/>
  <bookViews>
    <workbookView xWindow="-120" yWindow="-120" windowWidth="29040" windowHeight="17520" tabRatio="500" activeTab="5" xr2:uid="{00000000-000D-0000-FFFF-FFFF00000000}"/>
  </bookViews>
  <sheets>
    <sheet name="Übersicht" sheetId="1" r:id="rId1"/>
    <sheet name="Wertermittlung" sheetId="2" r:id="rId2"/>
    <sheet name="Marktwert" sheetId="3" r:id="rId3"/>
    <sheet name="Schenkungssteuer" sheetId="4" r:id="rId4"/>
    <sheet name="Szenarien" sheetId="5" r:id="rId5"/>
    <sheet name="Mieteinnahmen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6" l="1"/>
  <c r="G31" i="6" s="1"/>
  <c r="A69" i="6"/>
  <c r="A68" i="6"/>
  <c r="A67" i="6"/>
  <c r="A66" i="6"/>
  <c r="A65" i="6"/>
  <c r="A64" i="6"/>
  <c r="A63" i="6"/>
  <c r="A62" i="6"/>
  <c r="A61" i="6"/>
  <c r="A60" i="6"/>
  <c r="C41" i="6"/>
  <c r="F33" i="6"/>
  <c r="B33" i="6"/>
  <c r="G32" i="6"/>
  <c r="E32" i="6"/>
  <c r="D30" i="6"/>
  <c r="G30" i="6" s="1"/>
  <c r="D29" i="6"/>
  <c r="C24" i="6"/>
  <c r="D15" i="6"/>
  <c r="B21" i="6" s="1"/>
  <c r="B60" i="5"/>
  <c r="D54" i="5"/>
  <c r="C54" i="5"/>
  <c r="B53" i="5"/>
  <c r="D48" i="5"/>
  <c r="C48" i="5"/>
  <c r="B48" i="5"/>
  <c r="B54" i="5" s="1"/>
  <c r="B56" i="5" s="1"/>
  <c r="D47" i="5"/>
  <c r="B47" i="5"/>
  <c r="C47" i="5" s="1"/>
  <c r="D46" i="5"/>
  <c r="C46" i="5"/>
  <c r="B46" i="5"/>
  <c r="B37" i="5"/>
  <c r="B31" i="5"/>
  <c r="B30" i="5"/>
  <c r="B29" i="5"/>
  <c r="B28" i="5"/>
  <c r="B27" i="5"/>
  <c r="D17" i="5"/>
  <c r="C17" i="5"/>
  <c r="B17" i="5"/>
  <c r="D23" i="4"/>
  <c r="B23" i="4"/>
  <c r="D14" i="4"/>
  <c r="C14" i="4"/>
  <c r="B14" i="4"/>
  <c r="E14" i="4" s="1"/>
  <c r="B84" i="3"/>
  <c r="B75" i="3"/>
  <c r="B70" i="3"/>
  <c r="B72" i="3" s="1"/>
  <c r="D61" i="3"/>
  <c r="E61" i="3" s="1"/>
  <c r="E60" i="3"/>
  <c r="D60" i="3"/>
  <c r="E59" i="3"/>
  <c r="B63" i="3" s="1"/>
  <c r="D59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D41" i="3"/>
  <c r="B41" i="3"/>
  <c r="D40" i="3"/>
  <c r="B40" i="3"/>
  <c r="D39" i="3"/>
  <c r="B39" i="6" s="1"/>
  <c r="B39" i="3"/>
  <c r="B22" i="6" s="1"/>
  <c r="D38" i="3"/>
  <c r="B38" i="3"/>
  <c r="C20" i="2"/>
  <c r="C15" i="2"/>
  <c r="C16" i="2" s="1"/>
  <c r="C17" i="2" s="1"/>
  <c r="C21" i="2" s="1"/>
  <c r="C26" i="2" s="1"/>
  <c r="B11" i="1" s="1"/>
  <c r="D11" i="1" s="1"/>
  <c r="C13" i="2"/>
  <c r="E12" i="2"/>
  <c r="E13" i="2" s="1"/>
  <c r="E15" i="2" s="1"/>
  <c r="E16" i="2" s="1"/>
  <c r="E17" i="2" s="1"/>
  <c r="E21" i="2" s="1"/>
  <c r="E26" i="2" s="1"/>
  <c r="C11" i="1" s="1"/>
  <c r="C12" i="1" s="1"/>
  <c r="E6" i="2"/>
  <c r="B77" i="3" s="1"/>
  <c r="C6" i="2"/>
  <c r="D14" i="1"/>
  <c r="D13" i="1"/>
  <c r="C13" i="1"/>
  <c r="B13" i="1"/>
  <c r="D10" i="1"/>
  <c r="C10" i="1"/>
  <c r="B10" i="1"/>
  <c r="D8" i="1"/>
  <c r="D7" i="1"/>
  <c r="G15" i="6" l="1"/>
  <c r="B20" i="6"/>
  <c r="C20" i="6" s="1"/>
  <c r="E31" i="6"/>
  <c r="E30" i="6"/>
  <c r="D33" i="6"/>
  <c r="G33" i="6" s="1"/>
  <c r="E29" i="6"/>
  <c r="G29" i="6"/>
  <c r="B67" i="3"/>
  <c r="B69" i="3" s="1"/>
  <c r="B73" i="3" s="1"/>
  <c r="B76" i="3" s="1"/>
  <c r="E63" i="3"/>
  <c r="B12" i="1"/>
  <c r="D12" i="1" s="1"/>
  <c r="B20" i="1" s="1"/>
  <c r="D22" i="6"/>
  <c r="C22" i="6"/>
  <c r="B55" i="5"/>
  <c r="D21" i="6"/>
  <c r="C21" i="6"/>
  <c r="C22" i="2"/>
  <c r="C24" i="2" s="1"/>
  <c r="C39" i="6"/>
  <c r="C60" i="5"/>
  <c r="C53" i="5"/>
  <c r="D60" i="5"/>
  <c r="B23" i="6"/>
  <c r="D53" i="5"/>
  <c r="D55" i="5" s="1"/>
  <c r="E20" i="2"/>
  <c r="E22" i="2" s="1"/>
  <c r="E24" i="2" s="1"/>
  <c r="E15" i="6"/>
  <c r="B46" i="6" s="1"/>
  <c r="B37" i="6" l="1"/>
  <c r="B38" i="6"/>
  <c r="D38" i="6" s="1"/>
  <c r="E33" i="6"/>
  <c r="C46" i="6" s="1"/>
  <c r="C51" i="6" s="1"/>
  <c r="B40" i="6"/>
  <c r="B42" i="6" s="1"/>
  <c r="B51" i="6"/>
  <c r="B49" i="6"/>
  <c r="C56" i="5"/>
  <c r="C55" i="5"/>
  <c r="D23" i="6"/>
  <c r="C23" i="6"/>
  <c r="C25" i="6" s="1"/>
  <c r="B45" i="3"/>
  <c r="B25" i="5"/>
  <c r="C30" i="2"/>
  <c r="C49" i="6"/>
  <c r="B82" i="3"/>
  <c r="C45" i="3"/>
  <c r="E30" i="2"/>
  <c r="E78" i="3"/>
  <c r="B78" i="3"/>
  <c r="B83" i="3" s="1"/>
  <c r="C37" i="6"/>
  <c r="D39" i="6"/>
  <c r="B25" i="6"/>
  <c r="D40" i="6" l="1"/>
  <c r="C40" i="6"/>
  <c r="C38" i="6"/>
  <c r="C42" i="6" s="1"/>
  <c r="B60" i="6"/>
  <c r="B47" i="6"/>
  <c r="B85" i="3"/>
  <c r="B14" i="1"/>
  <c r="B5" i="4"/>
  <c r="D7" i="5"/>
  <c r="D9" i="5" s="1"/>
  <c r="D10" i="5" s="1"/>
  <c r="B7" i="5"/>
  <c r="B9" i="5" s="1"/>
  <c r="B10" i="5" s="1"/>
  <c r="B24" i="5"/>
  <c r="B16" i="5"/>
  <c r="C14" i="1"/>
  <c r="C7" i="5"/>
  <c r="C9" i="5" s="1"/>
  <c r="C10" i="5" s="1"/>
  <c r="B18" i="5" l="1"/>
  <c r="B19" i="5" s="1"/>
  <c r="D16" i="5"/>
  <c r="D18" i="5" s="1"/>
  <c r="D19" i="5" s="1"/>
  <c r="C16" i="5"/>
  <c r="C18" i="5" s="1"/>
  <c r="C19" i="5" s="1"/>
  <c r="B11" i="5"/>
  <c r="B35" i="5" s="1"/>
  <c r="D22" i="4"/>
  <c r="B24" i="4"/>
  <c r="B22" i="4"/>
  <c r="D25" i="4"/>
  <c r="D24" i="4"/>
  <c r="B13" i="4"/>
  <c r="C60" i="6"/>
  <c r="C47" i="6"/>
  <c r="B50" i="6"/>
  <c r="B53" i="6"/>
  <c r="B52" i="6"/>
  <c r="E60" i="6"/>
  <c r="B61" i="6"/>
  <c r="F60" i="6" l="1"/>
  <c r="C61" i="6"/>
  <c r="C62" i="6" s="1"/>
  <c r="C63" i="6" s="1"/>
  <c r="C64" i="6" s="1"/>
  <c r="C65" i="6" s="1"/>
  <c r="C66" i="6" s="1"/>
  <c r="C67" i="6" s="1"/>
  <c r="C68" i="6" s="1"/>
  <c r="C69" i="6" s="1"/>
  <c r="C50" i="6"/>
  <c r="C53" i="6"/>
  <c r="C52" i="6"/>
  <c r="B62" i="6"/>
  <c r="E61" i="6"/>
  <c r="B15" i="4"/>
  <c r="D13" i="4"/>
  <c r="D15" i="4" s="1"/>
  <c r="C13" i="4"/>
  <c r="C15" i="4" s="1"/>
  <c r="D60" i="6"/>
  <c r="E62" i="6"/>
  <c r="B20" i="5"/>
  <c r="B36" i="5" s="1"/>
  <c r="F62" i="6" l="1"/>
  <c r="F68" i="6"/>
  <c r="F65" i="6"/>
  <c r="D16" i="4"/>
  <c r="D17" i="4" s="1"/>
  <c r="C16" i="4"/>
  <c r="C17" i="4" s="1"/>
  <c r="E13" i="4"/>
  <c r="E15" i="4"/>
  <c r="B16" i="4"/>
  <c r="B17" i="4" s="1"/>
  <c r="F61" i="6"/>
  <c r="F64" i="6"/>
  <c r="D61" i="6"/>
  <c r="H61" i="6" s="1"/>
  <c r="F67" i="6"/>
  <c r="D62" i="6"/>
  <c r="H62" i="6" s="1"/>
  <c r="B63" i="6"/>
  <c r="F69" i="6"/>
  <c r="F66" i="6"/>
  <c r="E63" i="6"/>
  <c r="H60" i="6"/>
  <c r="G60" i="6"/>
  <c r="F63" i="6"/>
  <c r="E17" i="4" l="1"/>
  <c r="A40" i="4"/>
  <c r="B23" i="1" s="1"/>
  <c r="B25" i="4"/>
  <c r="B26" i="4" s="1"/>
  <c r="A41" i="4" s="1"/>
  <c r="B24" i="1" s="1"/>
  <c r="G62" i="6"/>
  <c r="G61" i="6"/>
  <c r="D63" i="6"/>
  <c r="B64" i="6"/>
  <c r="H63" i="6" l="1"/>
  <c r="B65" i="6"/>
  <c r="D64" i="6"/>
  <c r="H64" i="6" s="1"/>
  <c r="E65" i="6"/>
  <c r="G63" i="6"/>
  <c r="E64" i="6"/>
  <c r="G64" i="6" l="1"/>
  <c r="D65" i="6"/>
  <c r="B66" i="6"/>
  <c r="D66" i="6" l="1"/>
  <c r="G66" i="6" s="1"/>
  <c r="B67" i="6"/>
  <c r="E67" i="6"/>
  <c r="E66" i="6"/>
  <c r="H65" i="6"/>
  <c r="G65" i="6"/>
  <c r="B68" i="6" l="1"/>
  <c r="D67" i="6"/>
  <c r="H66" i="6"/>
  <c r="G67" i="6"/>
  <c r="H67" i="6" l="1"/>
  <c r="D68" i="6"/>
  <c r="H68" i="6" s="1"/>
  <c r="B69" i="6"/>
  <c r="E68" i="6"/>
  <c r="D69" i="6" l="1"/>
  <c r="E69" i="6"/>
  <c r="G68" i="6"/>
  <c r="H69" i="6" l="1"/>
  <c r="G69" i="6"/>
</calcChain>
</file>

<file path=xl/sharedStrings.xml><?xml version="1.0" encoding="utf-8"?>
<sst xmlns="http://schemas.openxmlformats.org/spreadsheetml/2006/main" count="566" uniqueCount="414">
  <si>
    <t>IMMOBILIENANALYSE – ERBSCHAFT / SCHENKUNG</t>
  </si>
  <si>
    <t>Eigentümerin: Mutter (74 Jahre) | Objekte: Tannhäuserstraße 9/1 &amp; 11/1, 72768 Reutlingen-Sickenhausen | Ziel: Schenkung zu Lebzeiten | 3 Kinder (Steuerklasse I)</t>
  </si>
  <si>
    <t>Kennzahl</t>
  </si>
  <si>
    <t>Tannhäuserstr. 9/1</t>
  </si>
  <si>
    <t>Tannhäuserstr. 11/1</t>
  </si>
  <si>
    <t>Gesamt</t>
  </si>
  <si>
    <t>Adresse</t>
  </si>
  <si>
    <t>–</t>
  </si>
  <si>
    <t>Gemeinde</t>
  </si>
  <si>
    <t>72768 Reutlingen (Sickenhausen)</t>
  </si>
  <si>
    <t>Baujahr</t>
  </si>
  <si>
    <t>1982</t>
  </si>
  <si>
    <t>2021</t>
  </si>
  <si>
    <t>Grundstücksfläche (m²)</t>
  </si>
  <si>
    <t>Wohnfläche (m²)</t>
  </si>
  <si>
    <t>Bodenrichtwert (€/m²)</t>
  </si>
  <si>
    <t>BORIS-D, Stand 01.01.2025</t>
  </si>
  <si>
    <t>Bodenwert (€)</t>
  </si>
  <si>
    <t>Gebäudewert geschätzt (€)</t>
  </si>
  <si>
    <t>Verkehrswert gesamt (€)</t>
  </si>
  <si>
    <t>Marktwert (Vergleichspreise, Mittelwert)</t>
  </si>
  <si>
    <t>Steuerl. Grundbesitzwert (€)</t>
  </si>
  <si>
    <t>⚠ Hinweis: Alle Werte sind Schätzungen nach vereinfachtem Sachwertverfahren (BewG). Für rechtssichere Werte ist ein Gutachter/Steuerberater zu beauftragen.</t>
  </si>
  <si>
    <t>SCHENKUNGSSTEUER-KURZÜBERSICHT</t>
  </si>
  <si>
    <t>Wert</t>
  </si>
  <si>
    <t>Hinweis</t>
  </si>
  <si>
    <t>Gesamtwert Immobilien</t>
  </si>
  <si>
    <t>Geschätzter Verkehrswert</t>
  </si>
  <si>
    <t>Freibetrag je Kind (§ 16 ErbStG)</t>
  </si>
  <si>
    <t>Gilt alle 10 Jahre – Steuerklasse I</t>
  </si>
  <si>
    <t>Freibetrag für 3 Kinder gesamt</t>
  </si>
  <si>
    <t>3 × 400.000 €</t>
  </si>
  <si>
    <t>Voraussichtliche Schenkungssteuer</t>
  </si>
  <si>
    <t>Bei gleichmäßiger Aufteilung auf 3 Kinder</t>
  </si>
  <si>
    <t>Steuerersparnis vs. Erbschaft</t>
  </si>
  <si>
    <t>Durch Schenkung zu Lebzeiten</t>
  </si>
  <si>
    <t>WERTERMITTLUNG – SACHWERTVERFAHREN (vereinfacht nach BewG)</t>
  </si>
  <si>
    <t>Parameter</t>
  </si>
  <si>
    <t>Einheit</t>
  </si>
  <si>
    <t>Tannh. 9/1
(Baujahr 1982)</t>
  </si>
  <si>
    <t>Tannh. 11/1
(Baujahr 2021)</t>
  </si>
  <si>
    <t>A) BODENWERT</t>
  </si>
  <si>
    <t>Grundstücksfläche</t>
  </si>
  <si>
    <t>m²</t>
  </si>
  <si>
    <t>Bodenrichtwert (BORIS-D 2025)</t>
  </si>
  <si>
    <t>€/m²</t>
  </si>
  <si>
    <t>BODENWERT</t>
  </si>
  <si>
    <t>€</t>
  </si>
  <si>
    <t>B) GEBÄUDEWERT (Sachwertverfahren)</t>
  </si>
  <si>
    <t>Wohnfläche</t>
  </si>
  <si>
    <t>NHK 2010 indexiert (Baupreisindex 2025)</t>
  </si>
  <si>
    <t>Jahr</t>
  </si>
  <si>
    <t>Bezugsjahr Bewertung</t>
  </si>
  <si>
    <t>Alter des Gebäudes</t>
  </si>
  <si>
    <t>Jahre</t>
  </si>
  <si>
    <t>Gesamtnutzungsdauer EFH</t>
  </si>
  <si>
    <t>Alterswertminderung</t>
  </si>
  <si>
    <t>%</t>
  </si>
  <si>
    <t>Wertminderungskoeffizient (verbleibend)</t>
  </si>
  <si>
    <t>GEBÄUDESACHWERT (vor Marktanpassung)</t>
  </si>
  <si>
    <t>C) GESAMTWERT &amp; MARKTANPASSUNG</t>
  </si>
  <si>
    <t>Bodenwert</t>
  </si>
  <si>
    <t>Gebäudesachwert</t>
  </si>
  <si>
    <t>Vorläufiger Sachwert</t>
  </si>
  <si>
    <t>Marktanpassungsfaktor (regional)</t>
  </si>
  <si>
    <t>Faktor</t>
  </si>
  <si>
    <t>→ Gebäudewert (für Übersicht)</t>
  </si>
  <si>
    <t>Steuerlicher Anpassungsfaktor (BewG, ca. 90%)</t>
  </si>
  <si>
    <t>→ Steuerl. Grundbesitzwert (§ 182 BewG)</t>
  </si>
  <si>
    <t>Quellen &amp; Annahmen: Bodenrichtwert BORIS-D 01.01.2025 | NHK 2010 indexiert mit BKI Baupreisindex | Gesamtnutzungsdauer EFH gem. ImmoWertV: 80 Jahre | Marktanpassung: regionale Schätzung</t>
  </si>
  <si>
    <t>⚠ Diese Berechnung ersetzt kein offizielles Gutachten. Der Finanzamtswert (Grundbesitzwert nach BewG) wird separat vom Finanzamt festgestellt.</t>
  </si>
  <si>
    <t>MARKTWERTANALYSE – VERGLEICHSWERTVERFAHREN (aktuelle Marktpreise)</t>
  </si>
  <si>
    <t>Quelle: Engel &amp; Völkers Sickenhausen (2025), Immowelt Reutlingen (Okt. 2025), Bodenrichtwert BORIS-D 2025 | Alle Preise €/m² Wohnfläche</t>
  </si>
  <si>
    <t>A) OBJEKTBESCHREIBUNG &amp; AUSSTATTUNGSMERKMALE</t>
  </si>
  <si>
    <t>Merkmal</t>
  </si>
  <si>
    <t>Tannhäuserstr. 9/1 (Bj. 1982)</t>
  </si>
  <si>
    <t>Bewertung</t>
  </si>
  <si>
    <t>Tannhäuserstr. 11/1 (Bj. 2021)</t>
  </si>
  <si>
    <t>Nutzungsart</t>
  </si>
  <si>
    <t>Einfamilienhaus, 1 Wohneinheit</t>
  </si>
  <si>
    <t>Mehrfamilienhaus: 2 fertige WE + Atelier</t>
  </si>
  <si>
    <t>++ Renditeobjekt</t>
  </si>
  <si>
    <t>160 m² (1 WE)</t>
  </si>
  <si>
    <t>neutral</t>
  </si>
  <si>
    <t>220 m² (2 WE + Atelier ausbaubar)</t>
  </si>
  <si>
    <t>++</t>
  </si>
  <si>
    <t>Grundstück</t>
  </si>
  <si>
    <t>120 m² – sehr klein</t>
  </si>
  <si>
    <t>– Einschränkung</t>
  </si>
  <si>
    <t>444 m² – großzügig mit Garten</t>
  </si>
  <si>
    <t>Baujahr / Zustand</t>
  </si>
  <si>
    <t>1982 – Altbau, Investitionsbedarf</t>
  </si>
  <si>
    <t>– Risiko</t>
  </si>
  <si>
    <t>2021 – Neubaustandard, kein Invest.</t>
  </si>
  <si>
    <t>++ kein Bedarf</t>
  </si>
  <si>
    <t>Ausbaupotenzial</t>
  </si>
  <si>
    <t>Dach: kein sep. Aufgang, kaum möglich – hohe Investition nötig</t>
  </si>
  <si>
    <t>– – nachteilig</t>
  </si>
  <si>
    <t>Atelier → 3. WE mit Gartenzugang möglich</t>
  </si>
  <si>
    <t>++ Entwicklungspotenzial</t>
  </si>
  <si>
    <t>Parkplätze</t>
  </si>
  <si>
    <t>k.A. / standard</t>
  </si>
  <si>
    <t>Mehrere Stellplätze + Ladesäule (EV)</t>
  </si>
  <si>
    <t>++ Zukunftswert</t>
  </si>
  <si>
    <t>Mietpotenzial</t>
  </si>
  <si>
    <t>Marktwerttreiber</t>
  </si>
  <si>
    <t>Wohnwert für Eigennutzer</t>
  </si>
  <si>
    <t>Anleger + Eigennutzer, Renditepremium</t>
  </si>
  <si>
    <t>★ FAZIT: 11/1 ist strukturell erheblich wertvoller als 9/1 – es handelt sich faktisch um ein Renditeobjekt (Mehrfamilienhaus) mit Entwicklungspotenzial, während 9/1 ein klassisches Einfamilienhaus ohne Ertragspotenzial ist.</t>
  </si>
  <si>
    <t>A) REGIONALE MARKTPREISE – SICKENHAUSEN / REUTLINGEN (2025/2026)</t>
  </si>
  <si>
    <t>Marktsegment</t>
  </si>
  <si>
    <t>€/m² (Wohnfl.) Untergrenze</t>
  </si>
  <si>
    <t>€/m² (Wohnfl.) Mittelwert</t>
  </si>
  <si>
    <t>€/m² (Wohnfl.) Obergrenze</t>
  </si>
  <si>
    <t>Quelle / Bemerkung</t>
  </si>
  <si>
    <t>EFH Sickenhausen (∅ alle Baujahre)</t>
  </si>
  <si>
    <t>EFH Reutlingen gesamt (∅)</t>
  </si>
  <si>
    <t>Immowelt / ImmoScout24, Okt. 2025</t>
  </si>
  <si>
    <t>EFH Altbau (vor 1990, nicht saniert)</t>
  </si>
  <si>
    <t>Schätzung auf Basis Marktabschlag ~20%</t>
  </si>
  <si>
    <t>EFH Altbau (vor 1990, saniert)</t>
  </si>
  <si>
    <t>Schätzung auf Basis Marktabschlag ~7%</t>
  </si>
  <si>
    <t>EFH Neubau (nach 2015)</t>
  </si>
  <si>
    <t>Neubaupremium ca. +15% über Markt-∅</t>
  </si>
  <si>
    <t>B) MARKTWERTBERECHNUNG JE OBJEKT (Vergleichswertverfahren)</t>
  </si>
  <si>
    <t>Tannh. 9/1 (Bj. 1982)</t>
  </si>
  <si>
    <t>Tannh. 11/1 (Bj. 2021)</t>
  </si>
  <si>
    <t>Marktpreis-Ansatz (∅ Vergleichswert)</t>
  </si>
  <si>
    <t>Vergleichspreis UNTERGRENZE (€/m²)</t>
  </si>
  <si>
    <t>€/m² WF</t>
  </si>
  <si>
    <t>9/1: kein Ausbaupot., kleines Grdst. | 11/1: Renditeobjekt +Aufschlag</t>
  </si>
  <si>
    <t>Vergleichspreis MITTELWERT (€/m²)</t>
  </si>
  <si>
    <t>9/1: realistischer Marktpreis EFH Altbau | 11/1: 2 WE + Ausbaupot. + Ladesäule</t>
  </si>
  <si>
    <t>Vergleichspreis OBERGRENZE (€/m²)</t>
  </si>
  <si>
    <t>9/1: vollsaniert/Top-Zustand | 11/1: + 3. WE ausgebaut</t>
  </si>
  <si>
    <t>MARKTWERT UNTERGRENZE</t>
  </si>
  <si>
    <t>MARKTWERT MITTELWERT ← Ansatz für Steuer</t>
  </si>
  <si>
    <t>MARKTWERT OBERGRENZE</t>
  </si>
  <si>
    <t>MARKTWERT nach Umbau WE3 (Szenario)</t>
  </si>
  <si>
    <t>€  → nach Fertigstellung WE3 (Atelier ausgebaut)</t>
  </si>
  <si>
    <t>C) VERGLEICH: SACHWERTVERFAHREN vs. MARKTWERTVERFAHREN</t>
  </si>
  <si>
    <t>Tannh. 9/1</t>
  </si>
  <si>
    <t>Tannh. 11/1</t>
  </si>
  <si>
    <t>Bemerkung</t>
  </si>
  <si>
    <t>Sachwert (Wertermittlung-Sheet)</t>
  </si>
  <si>
    <t>Vereinf. Sachwertverfahren (BewG)</t>
  </si>
  <si>
    <t>Marktwert UNTERGRENZE</t>
  </si>
  <si>
    <t>Konservativer Ansatz (schlechter Zustand)</t>
  </si>
  <si>
    <t>Marktwert MITTELWERT</t>
  </si>
  <si>
    <t>Realistischer Marktpreis (Normalzustand)</t>
  </si>
  <si>
    <t>Marktwert OBERGRENZE</t>
  </si>
  <si>
    <t>Sehr guter Zustand / vollsaniert</t>
  </si>
  <si>
    <t>Differenz Markt- vs. Sachwert (Mittel)</t>
  </si>
  <si>
    <t>→ Marktwert liegt erheblich über Sachwert!</t>
  </si>
  <si>
    <t>⚠ STEUERLICH WICHTIG: Das Finanzamt setzt den Grundbesitzwert nach BewG (≈ Sachwert) an – NICHT den Marktwert. Der Marktwert ist jedoch für die Erbauseinandersetzung und Ausgleichszahlungen zwischen den Geschwistern maßgeblich.</t>
  </si>
  <si>
    <t>Quelle Marktpreise: Engel &amp; Völkers Sickenhausen 2025 (∅ 3.879 €/m²), Immowelt Reutlingen Okt. 2025, Bodenrichtwert BORIS-D 01.01.2025 | Blaue Werte = anpassbar</t>
  </si>
  <si>
    <t>ERTRAGSWERTVERFAHREN – TANNHÄUSERSTR. 11/1 (Renditeobjekt mit 2 Wohneinheiten)</t>
  </si>
  <si>
    <t>Das Ertragswertverfahren (§§ 17-20 ImmoWertV) ist bei Renditeobjekten neben dem Vergleichswert maßgeblich. Blaue Werte = anpassbar.</t>
  </si>
  <si>
    <t>A) MIETANSATZ – TANNHÄUSERSTR. 11/1</t>
  </si>
  <si>
    <t>Wohneinheit</t>
  </si>
  <si>
    <t>Fläche (m²)</t>
  </si>
  <si>
    <t>Kaltmiete (€/m²)</t>
  </si>
  <si>
    <t>Monatliche Miete (€)</t>
  </si>
  <si>
    <t>Jahresmiete (€)</t>
  </si>
  <si>
    <t>Wohnung 1 (größer, z.B. EG/OG)</t>
  </si>
  <si>
    <t>Wohnung 2 (kleiner, z.B. OG/DG)</t>
  </si>
  <si>
    <t>Wohnung 3 / Atelier → WE (gleich groß wie WE1, 110 m²)</t>
  </si>
  <si>
    <t>→ Umbaukosten Atelier → WE3 (110 m²): 80.000–130.000 € (Gartenzugang, Küche, Bad). Wertsteigerung nach Umbau erheblich (Mietertrag +13.200 €/Jahr).</t>
  </si>
  <si>
    <t>JAHRES-ROHERTRAG GESAMT</t>
  </si>
  <si>
    <t>B) ERTRAGSWERTBERECHNUNG</t>
  </si>
  <si>
    <t>Erläuterung</t>
  </si>
  <si>
    <t>Jahres-Rohertrag</t>
  </si>
  <si>
    <t>€/Jahr</t>
  </si>
  <si>
    <t>Kaltmiete Ist-Stand (2 WE)</t>
  </si>
  <si>
    <t>Bewirtschaftungskosten</t>
  </si>
  <si>
    <t>∅ 25% (Verwaltung, Instand., Mietausfall)</t>
  </si>
  <si>
    <t>Jahres-Reinertrag</t>
  </si>
  <si>
    <t>Rohertrag × (1 – Bewirtschaftungskosten)</t>
  </si>
  <si>
    <t>Bodenwert (11/1)</t>
  </si>
  <si>
    <t>120 m² × 460 €/m² Bodenrichtwert</t>
  </si>
  <si>
    <t>Bodenwertverzinsung (Liegenschz.)</t>
  </si>
  <si>
    <t>Liegenschaftszins MFH Reutlingen ~3%</t>
  </si>
  <si>
    <t>Bodenwertverzinsung €</t>
  </si>
  <si>
    <t>Bodenwert × Liegenschaftszins</t>
  </si>
  <si>
    <t>Gebäude-Reinertrag</t>
  </si>
  <si>
    <t>Jahres-Reinertrag – Bodenwertverzinsung</t>
  </si>
  <si>
    <t>Restnutzungsdauer (RND)</t>
  </si>
  <si>
    <t>2021 gebaut, GND 70 J. → RND 45 J.</t>
  </si>
  <si>
    <t>Vervielfältiger (RND/Liegenschz.)</t>
  </si>
  <si>
    <t>Annuitätenfaktor nach Barwertformel</t>
  </si>
  <si>
    <t>GEBÄUDEERTRAGSWERT</t>
  </si>
  <si>
    <t>Gebäude-Reinertrag × Vervielfältiger</t>
  </si>
  <si>
    <t>Bleibt separat angesetzt</t>
  </si>
  <si>
    <t>ERTRAGSWERT GESAMT</t>
  </si>
  <si>
    <t>C) WERTVERGLEICH 11/1: SACHWERT vs. ERTRAGSWERT vs. VERGLEICHSWERT</t>
  </si>
  <si>
    <t>Methode</t>
  </si>
  <si>
    <t>Wert 11/1 (€)</t>
  </si>
  <si>
    <t>Einschätzung</t>
  </si>
  <si>
    <t>Kommentar</t>
  </si>
  <si>
    <t>Sachwertverfahren (BewG, steuerlich)</t>
  </si>
  <si>
    <t>Untergrenze</t>
  </si>
  <si>
    <t>Wird vom Finanzamt verwendet – oft zu konservativ</t>
  </si>
  <si>
    <t>Ertragswertverfahren</t>
  </si>
  <si>
    <t>Mittelwert Rendite</t>
  </si>
  <si>
    <t>Relevant für Investor-Käufer (Kaufpreisfaktor ~25x)</t>
  </si>
  <si>
    <t>Vergleichswertverfahren (Mittel)</t>
  </si>
  <si>
    <t>Marktpreis</t>
  </si>
  <si>
    <t>Marktpreise Sickenhausen 2025 – realistischster Ansatz</t>
  </si>
  <si>
    <t>EMPFOHLENER ANSATZ (Mittelwert alle)</t>
  </si>
  <si>
    <t>★ Bester Schätzwert</t>
  </si>
  <si>
    <t>Durchschnitt der drei Methoden</t>
  </si>
  <si>
    <t>⚠ Das Atelier (ausbaubar zur 3. WE) ist im Ertragswert noch NICHT berücksichtigt (Fläche = 0 m²). Sobald ausgebaut und vermietet, steigt der Ertragswert um schätzungsweise 80.000–150.000 €.</t>
  </si>
  <si>
    <t>SCHENKUNGSSTEUERBERECHNUNG – DEUTSCHLAND (ErbStG)</t>
  </si>
  <si>
    <t>A) PARAMETER</t>
  </si>
  <si>
    <t>Gesamtwert Immobilien (steuerlich)</t>
  </si>
  <si>
    <t>Steuerl. Grundbesitzwert (§182 BewG)</t>
  </si>
  <si>
    <t>Anzahl Kinder</t>
  </si>
  <si>
    <t>Steuerklasse I (§ 15 ErbStG)</t>
  </si>
  <si>
    <t>Freibetrag je Kind (§ 16 Abs. 1 Nr. 2)</t>
  </si>
  <si>
    <t>Gilt alle 10 Jahre erneuert</t>
  </si>
  <si>
    <t>Alter der Schenkerin</t>
  </si>
  <si>
    <t>Jahre – relevant für Nießbrauchswert</t>
  </si>
  <si>
    <t>Schenkungsjahr</t>
  </si>
  <si>
    <t>Jahr der geplanten Schenkung</t>
  </si>
  <si>
    <t>B) SZENARIO: GLEICHMÄSSIGE AUFTEILUNG AUF 3 KINDER</t>
  </si>
  <si>
    <t>Kind 1</t>
  </si>
  <si>
    <t>Kind 2</t>
  </si>
  <si>
    <t>Kind 3</t>
  </si>
  <si>
    <t>Schenkungsanteil (1/3 je Kind)</t>
  </si>
  <si>
    <t>Freibetrag je Kind</t>
  </si>
  <si>
    <t>Steuerpflichtiger Erwerb</t>
  </si>
  <si>
    <t>Steuersatz (§ 19 ErbStG, Kl. I)</t>
  </si>
  <si>
    <t>SCHENKUNGSSTEUER je Kind</t>
  </si>
  <si>
    <t>C) VERGLEICH: SCHENKUNG vs. ERBSCHAFT</t>
  </si>
  <si>
    <t>Schenkung zu Lebzeiten</t>
  </si>
  <si>
    <t>Erbschaft (nach Tod)</t>
  </si>
  <si>
    <t>Steuerlicher Gesamtwert</t>
  </si>
  <si>
    <t>Gesamtfreibetrag (3 Kinder)</t>
  </si>
  <si>
    <t>Steuerpflichtiger Erwerb gesamt</t>
  </si>
  <si>
    <t>Schenkungssteuer / Erbschaftsteuer GESAMT</t>
  </si>
  <si>
    <t>VORTEIL SCHENKUNG</t>
  </si>
  <si>
    <t>→ Steuerersparnis durch Schenkung</t>
  </si>
  <si>
    <t>Wichtige Hinweise: Freibetrag 400.000 € gilt alle 10 Jahre – eine Schenkung heute ermöglicht nach 10 Jahren eine weitere steuerfreie Schenkung. Nießbrauchsvorbehalt möglich.</t>
  </si>
  <si>
    <t>⚠ Notarkosten, Grundbucheintragungen und ggf. Grunderwerbsteuer (bei Schenkung i.d.R. ausgenommen) sind zusätzlich einzuplanen. Steuerberater konsultieren!</t>
  </si>
  <si>
    <t>SZENARIEN – AUFTEILUNG DER IMMOBILIEN AUF 3 KINDER</t>
  </si>
  <si>
    <t>Alle Szenarien zeigen die steuerliche Auswirkung der Verteilung auf die 3 Kinder. Steuerliche Werte aus Wertermittlung-Sheet.</t>
  </si>
  <si>
    <t>SZENARIO 1: Kind 1 → Haus 9/1 | Kind 2 → Haus 11/1 | Kind 3 → Ausgleichszahlung</t>
  </si>
  <si>
    <t>Erhält</t>
  </si>
  <si>
    <t>Haus 9/1 (Tannh. 9/1)</t>
  </si>
  <si>
    <t>Haus 11/1 (Tannh. 11/1)</t>
  </si>
  <si>
    <t>Ausgleichszahlung</t>
  </si>
  <si>
    <t>Wert der Schenkung (steuerlich)</t>
  </si>
  <si>
    <t>Freibetrag</t>
  </si>
  <si>
    <t>Schenkungssteuer</t>
  </si>
  <si>
    <t>STEUERGESAMT Szenario 1</t>
  </si>
  <si>
    <t>→ Nachteil: Haus 11/1 deutlich wertvoller</t>
  </si>
  <si>
    <t>SZENARIO 2: GLEICHMÄSSIGE AUFTEILUNG – alle 3 Kinder erhalten 1/3 je Haus (Miteigentum)</t>
  </si>
  <si>
    <t>1/3 Anteil beide Häuser</t>
  </si>
  <si>
    <t>Wert der Schenkung (steuerlich, 1/3)</t>
  </si>
  <si>
    <t>STEUERGESAMT Szenario 2</t>
  </si>
  <si>
    <t>→ Steuerlich optimal, aber Miteigentum komplex</t>
  </si>
  <si>
    <t>SZENARIO 3: SCHENKUNG MIT NIESBRAUCHSVORBEHALT (Mutter wohnt weiter im Haus)</t>
  </si>
  <si>
    <t>Berechnung für beide Objekte (Gesamt)</t>
  </si>
  <si>
    <t>Rohwert der Schenkung (steuerlich)</t>
  </si>
  <si>
    <t>Jahreswert Nießbrauch (Mietwert ca. 3,5%/Jahr)</t>
  </si>
  <si>
    <t>Vervielfältiger (Mutter 74 J., §14 BewG)</t>
  </si>
  <si>
    <t>Kapitalwert Nießbrauch</t>
  </si>
  <si>
    <t>Steuerpflichtiger Wert nach Nießbrauchsabzug</t>
  </si>
  <si>
    <t>Gesamtfreibetrag 3 Kinder</t>
  </si>
  <si>
    <t>Steuerpflichtiger Erwerb nach Freibetrag</t>
  </si>
  <si>
    <t>Geschätzte Schenkungssteuer gesamt</t>
  </si>
  <si>
    <t>ZUSAMMENFASSUNG &amp; EMPFEHLUNG</t>
  </si>
  <si>
    <t>Szenario</t>
  </si>
  <si>
    <t>Steuerbelastung</t>
  </si>
  <si>
    <t>Vorteil</t>
  </si>
  <si>
    <t>Nachteil</t>
  </si>
  <si>
    <t>Sz. 1: Ein Haus pro Kind</t>
  </si>
  <si>
    <t>Klare Zuordnung</t>
  </si>
  <si>
    <t>Wertungleichgewicht, Ausgleich nötig</t>
  </si>
  <si>
    <t>Sz. 2: Miteigentum 1/3</t>
  </si>
  <si>
    <t>Steueroptimal, gleich</t>
  </si>
  <si>
    <t>Miteigentum → Konflikte möglich</t>
  </si>
  <si>
    <t>Sz. 3: Mit Nießbrauch</t>
  </si>
  <si>
    <t>Mutter bleibt abgesichert, Steuerwert ↓</t>
  </si>
  <si>
    <t>Kinder verfügen nicht frei über Objekte</t>
  </si>
  <si>
    <t>★ EMPFEHLUNG: Szenario 3 (Schenkung mit Nießbrauchsvorbehalt) ist oft die beste Kombination: Mutter bleibt abgesichert, Steuerwert sinkt, Freibeträge werden voll ausgeschöpft. Unbedingt Notar &amp; Steuerberater einschalten.</t>
  </si>
  <si>
    <t>MARKTWERT-BASIERTE AUFTEILUNG – FAIR-VALUE FÜR GESCHWISTERAUSGLEICH</t>
  </si>
  <si>
    <t>Steuerlich gilt der Grundbesitzwert (Finanzamt). Für den fairen Ausgleich unter Geschwistern ist der Marktwert maßgeblich.</t>
  </si>
  <si>
    <t>A) MARKTWERTE &amp; WERTGEFÄLLE (Quelle: Marktwert-Sheet, ∅ Vergleichspreise)</t>
  </si>
  <si>
    <t>Objekt</t>
  </si>
  <si>
    <t>Marktwert (Mittelwert)</t>
  </si>
  <si>
    <t>Anteil am Gesamtwert</t>
  </si>
  <si>
    <t>Ideeller 1/3-Anspruch je Kind</t>
  </si>
  <si>
    <t>Tannhäuserstraße 9/1 (Bj. 1982)</t>
  </si>
  <si>
    <t>Tannhäuserstraße 11/1 (Bj. 2021)</t>
  </si>
  <si>
    <t>GESAMT MARKTWERT</t>
  </si>
  <si>
    <t>B) SZENARIO 1 – MARKTWERT: Kind 1 → Haus 9/1 | Kind 2 → Haus 11/1 | Kind 3 → Barzahlung</t>
  </si>
  <si>
    <t>Haus 9/1</t>
  </si>
  <si>
    <t>Haus 11/1</t>
  </si>
  <si>
    <t>Ausgleichszahlung bar</t>
  </si>
  <si>
    <t>Marktwert des Objekts</t>
  </si>
  <si>
    <t>Ideeller Anspruch (1/3 Gesamtwert)</t>
  </si>
  <si>
    <t>Ausgleichsbetrag (Mehr/Minder)</t>
  </si>
  <si>
    <t>→ Zahlt Ausgleich AN Kind 3</t>
  </si>
  <si>
    <t>← erhält</t>
  </si>
  <si>
    <t>C) SZENARIO 2 – MARKTWERT: Miteigentum 1/3 je Kind (kein Ausgleich nötig)</t>
  </si>
  <si>
    <t>Kind 1 (1/3)</t>
  </si>
  <si>
    <t>Kind 2 (1/3)</t>
  </si>
  <si>
    <t>Kind 3 (1/3)</t>
  </si>
  <si>
    <t>Marktwert-Anteil je Kind</t>
  </si>
  <si>
    <t>Ausgleich notwendig?</t>
  </si>
  <si>
    <t>NEIN – alle gleich</t>
  </si>
  <si>
    <t>★ FAZIT: Bei Szenario 1 (je ein Haus) müsste Kind 2 (Haus 11/1, Marktwert ~946k) ca. 460.000 € an Kind 3 ausgleichen – das ist kaum ohne Verkauf/Kredit machbar. Szenario 2 (Miteigentum) oder Szenario 3 (Nießbrauch) sind fairer und praktikabler.</t>
  </si>
  <si>
    <t>MIETEINNAHMEN &amp; RENDITEANALYSE – TANNHÄUSERSTR. 9/1 &amp; 11/1, REUTLINGEN</t>
  </si>
  <si>
    <t>Quellen: ImmoScout24/Wohnungsboerse Reutlingen 2026 (∅ 11,87–13,44 €/m² Wohnungen | Häuser ∅ 14,53 €/m²) | Blaue Werte = anpassbar</t>
  </si>
  <si>
    <t>A) AKTUELLE MARKTMIETEN REUTLINGEN / SICKENHAUSEN 2026</t>
  </si>
  <si>
    <t>Segment</t>
  </si>
  <si>
    <t>Untergrenze
(€/m²)</t>
  </si>
  <si>
    <t>Mittelwert
(€/m²)</t>
  </si>
  <si>
    <t>Obergrenze
(€/m²)</t>
  </si>
  <si>
    <t>Quelle</t>
  </si>
  <si>
    <t>Wohnung klein &lt;60 m²</t>
  </si>
  <si>
    <t>ImmoScout24 Reutlingen Q1/2026</t>
  </si>
  <si>
    <t>Wohnung mittel 60–100 m²</t>
  </si>
  <si>
    <t>Wohnung groß &gt;100 m²</t>
  </si>
  <si>
    <t>ImmoScout24 / Engel&amp;Völkers 2026</t>
  </si>
  <si>
    <t>EFH gesamt vermietet</t>
  </si>
  <si>
    <t>Wohnungsboerse / E&amp;V 2026</t>
  </si>
  <si>
    <t>Neubau-Aufschlag ab 2015</t>
  </si>
  <si>
    <t>+1,00</t>
  </si>
  <si>
    <t>+1,50</t>
  </si>
  <si>
    <t>+2,00</t>
  </si>
  <si>
    <t>Marktbeobachtung RTL</t>
  </si>
  <si>
    <t>Altbau-Abschlag vor 1990</t>
  </si>
  <si>
    <t>-1,00</t>
  </si>
  <si>
    <t>-1,50</t>
  </si>
  <si>
    <t>-2,00</t>
  </si>
  <si>
    <t>B) TANNHÄUSERSTR. 9/1 – EFH ALTBAU (Bj. 1982, 160 m², 1 WE, kein Ausbaupotenzial)</t>
  </si>
  <si>
    <t>Fläche
(m²)</t>
  </si>
  <si>
    <t>Miete
(€/m²)</t>
  </si>
  <si>
    <t>Kaltmiete
/Monat</t>
  </si>
  <si>
    <t>Kaltmiete
/Jahr</t>
  </si>
  <si>
    <t>NK
/Monat</t>
  </si>
  <si>
    <t>Warmmiete
/Monat</t>
  </si>
  <si>
    <t>EFH gesamt (1 WE, Vollvermietung)</t>
  </si>
  <si>
    <t>Altbau-Abschlag vs. Marktmittel, 1 WE</t>
  </si>
  <si>
    <t>⚠ Kein Ausbau zur Mehrfamilienwohnung möglich (kein sep. Treppenhaus) → bleibt dauerhaft 1 WE. Alternative: Eigennutzung durch ein Kind.</t>
  </si>
  <si>
    <t>JAHRESBILANZ 9/1</t>
  </si>
  <si>
    <t>Position</t>
  </si>
  <si>
    <t>Monatlich</t>
  </si>
  <si>
    <t>Jährlich</t>
  </si>
  <si>
    <t>Kaltmiete brutto</t>
  </si>
  <si>
    <t>Jahresrohertrag</t>
  </si>
  <si>
    <t>Verwaltung (5%)</t>
  </si>
  <si>
    <t>Hausverwaltung, Abrechnung</t>
  </si>
  <si>
    <t>Instandhaltung (1,5% Kaufpreis)</t>
  </si>
  <si>
    <t>Altbau: höhere Rücklage nötig</t>
  </si>
  <si>
    <t>Mietausfallwagnis (3%)</t>
  </si>
  <si>
    <t>Leerstand, Ausfall</t>
  </si>
  <si>
    <t>Versicherung / Grundsteuer</t>
  </si>
  <si>
    <t>Ø-Wert EFH Reutlingen</t>
  </si>
  <si>
    <t>NETTO-EINNAHMEN p.a.</t>
  </si>
  <si>
    <t>Nach Bewirtschaftungskosten</t>
  </si>
  <si>
    <t>C) TANNHÄUSERSTR. 11/1 – MFH NEUBAU (Bj. 2021, 3 WE + Ladesäule, 240 m² gesamt)</t>
  </si>
  <si>
    <t>Neubau, Ladesäule-Zugang, Garten</t>
  </si>
  <si>
    <t>WE2 – Zweitwohnung (OG, mittel)</t>
  </si>
  <si>
    <t>Neubau, separate Einheit</t>
  </si>
  <si>
    <t>WE3 – Atelier → Wohnung (groß, Gartenzugang)</t>
  </si>
  <si>
    <t>Nach Umbau, Gartenzugang</t>
  </si>
  <si>
    <t>Ladesäule (2 Mieter × 50 €/Monat)</t>
  </si>
  <si>
    <t>Pauschal 50 €/Monat pro WE</t>
  </si>
  <si>
    <t>GESAMT BRUTTO (3 WE + Ladesäule)</t>
  </si>
  <si>
    <t>Vollvermietung alle 3 WE + Ladesäule</t>
  </si>
  <si>
    <t>JAHRESBILANZ 11/1</t>
  </si>
  <si>
    <t>Kaltmiete brutto + Ladesäule</t>
  </si>
  <si>
    <t>Jahresrohertrag MFH</t>
  </si>
  <si>
    <t>MFH-Verwaltung</t>
  </si>
  <si>
    <t>Instandhaltung (0,8% Kaufpreis)</t>
  </si>
  <si>
    <t>Neubau: niedrige Rücklage</t>
  </si>
  <si>
    <t>Leerstand 1 von 3 WE</t>
  </si>
  <si>
    <t>MFH: höherer Ansatz</t>
  </si>
  <si>
    <t>D) RENDITEANALYSE &amp; DIREKTVERGLEICH BEIDE OBJEKTE</t>
  </si>
  <si>
    <t>Tannh. 9/1
(EFH Altbau)</t>
  </si>
  <si>
    <t>Tannh. 11/1
(MFH 3 WE Neubau)</t>
  </si>
  <si>
    <t>Jahres-Kaltmiete brutto</t>
  </si>
  <si>
    <t>Rohertrag vor Kosten</t>
  </si>
  <si>
    <t>Netto-Mieteinnahmen p.a.</t>
  </si>
  <si>
    <t>Marktwert (Vergleich, Mittel)</t>
  </si>
  <si>
    <t>Marktwert Mittelwert – direkt eingeben (Quelle: Marktwert-Sheet)</t>
  </si>
  <si>
    <t>Brutto-Mietrendite</t>
  </si>
  <si>
    <t>Bruttomiete / Marktwert</t>
  </si>
  <si>
    <t>Netto-Mietrendite</t>
  </si>
  <si>
    <t>Nettomiete / Marktwert</t>
  </si>
  <si>
    <t>Kaufpreisfaktor (Brutto)</t>
  </si>
  <si>
    <t>x</t>
  </si>
  <si>
    <t>&lt; 25x = günstig für Investor</t>
  </si>
  <si>
    <t>Monatlicher Nettoüberschuss</t>
  </si>
  <si>
    <t>Ø mtl. Cashflow nach Kosten</t>
  </si>
  <si>
    <t>Break-even (Jahre bis Wertrückfluss)</t>
  </si>
  <si>
    <t>Wie lange bis Marktwert durch Miete gedeckt</t>
  </si>
  <si>
    <t>E) 10-JAHRES MIETPROJEKTION (mit jährlicher Mietsteigerung)</t>
  </si>
  <si>
    <t>Jährliche Mietsteigerung</t>
  </si>
  <si>
    <t>∅ Reutlingen Mietsteigerung 2021–2025: ca. +3,6%/Jahr | Konservativer Ansatz 2,5%</t>
  </si>
  <si>
    <t>Startjahr</t>
  </si>
  <si>
    <t>Jahr der Schenkung / Beginn Vollvermietung</t>
  </si>
  <si>
    <t>Nettomiete 9/1 (€)</t>
  </si>
  <si>
    <t>Nettomiete 11/1 (€)</t>
  </si>
  <si>
    <t>Gesamt (€)</t>
  </si>
  <si>
    <t>Kumuliert 9/1</t>
  </si>
  <si>
    <t>Kumuliert 11/1</t>
  </si>
  <si>
    <t>Kumuliert Gesamt</t>
  </si>
  <si>
    <t>Steigerung vs. Jahr 1</t>
  </si>
  <si>
    <t>★ FAZIT: 11/1 erzielt als Renditeobjekt ca. 3–4× mehr Nettomieteinnahmen als 9/1. Über 10 Jahre kumuliert über 400.000 € mehr Einnahmen. Schenkung zu Lebzeiten sichert sofortigen Mieteinnahme-Zufluss an die Kinder ab dem Übertragungsjahr.</t>
  </si>
  <si>
    <t>WE1 – Hauptwohnung (OG, groß)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</si>
</sst>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m²&quot;"/>
    <numFmt numFmtId="165" formatCode="&quot;€ &quot;#,##0"/>
    <numFmt numFmtId="166" formatCode="0.0%"/>
    <numFmt numFmtId="167" formatCode="0.00\x"/>
    <numFmt numFmtId="168" formatCode="&quot;€ &quot;0.00&quot;/m²&quot;"/>
    <numFmt numFmtId="169" formatCode="0.000"/>
    <numFmt numFmtId="170" formatCode="0.00&quot; €/m²&quot;"/>
    <numFmt numFmtId="171" formatCode="0.0\x"/>
    <numFmt numFmtId="172" formatCode="0.0"/>
    <numFmt numFmtId="173" formatCode="0000"/>
  </numFmts>
  <fonts count="28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sz val="10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808080"/>
      <name val="Arial"/>
      <charset val="1"/>
    </font>
    <font>
      <b/>
      <sz val="10"/>
      <color rgb="FF000000"/>
      <name val="Arial"/>
      <charset val="1"/>
    </font>
    <font>
      <sz val="10"/>
      <color rgb="FF008000"/>
      <name val="Arial"/>
      <charset val="1"/>
    </font>
    <font>
      <i/>
      <sz val="9"/>
      <color rgb="FFFF0000"/>
      <name val="Arial"/>
      <charset val="1"/>
    </font>
    <font>
      <b/>
      <sz val="11"/>
      <color rgb="FFFFFFFF"/>
      <name val="Arial"/>
      <charset val="1"/>
    </font>
    <font>
      <b/>
      <sz val="13"/>
      <color rgb="FFFFFFFF"/>
      <name val="Arial"/>
      <charset val="1"/>
    </font>
    <font>
      <i/>
      <sz val="8"/>
      <color rgb="FF808080"/>
      <name val="Arial"/>
      <charset val="1"/>
    </font>
    <font>
      <i/>
      <sz val="8"/>
      <color rgb="FFFF0000"/>
      <name val="Arial"/>
      <charset val="1"/>
    </font>
    <font>
      <i/>
      <sz val="9"/>
      <color rgb="FF595959"/>
      <name val="Arial"/>
      <charset val="1"/>
    </font>
    <font>
      <b/>
      <sz val="10"/>
      <color rgb="FFFF0000"/>
      <name val="Arial"/>
      <charset val="1"/>
    </font>
    <font>
      <b/>
      <sz val="10"/>
      <color rgb="FF008000"/>
      <name val="Arial"/>
      <charset val="1"/>
    </font>
    <font>
      <b/>
      <sz val="10"/>
      <color rgb="FF1F3864"/>
      <name val="Arial"/>
      <charset val="1"/>
    </font>
    <font>
      <i/>
      <sz val="10"/>
      <color rgb="FF595959"/>
      <name val="Arial"/>
      <charset val="1"/>
    </font>
    <font>
      <sz val="10"/>
      <color rgb="FFFF0000"/>
      <name val="Arial"/>
      <charset val="1"/>
    </font>
    <font>
      <i/>
      <sz val="10"/>
      <color rgb="FFFF0000"/>
      <name val="Arial"/>
      <charset val="1"/>
    </font>
    <font>
      <i/>
      <sz val="9"/>
      <color rgb="FF1F3864"/>
      <name val="Arial"/>
      <charset val="1"/>
    </font>
    <font>
      <sz val="10"/>
      <name val="Arial"/>
      <charset val="1"/>
    </font>
    <font>
      <sz val="1"/>
      <color rgb="FFFFFFFF"/>
      <name val="Cambria"/>
      <charset val="1"/>
    </font>
    <font>
      <sz val="1"/>
      <color rgb="FFFFFFFF"/>
      <name val="Arial"/>
      <charset val="1"/>
    </font>
    <font>
      <b/>
      <sz val="10"/>
      <name val="Arial"/>
      <charset val="1"/>
    </font>
    <font>
      <b/>
      <sz val="10"/>
      <color rgb="FF595959"/>
      <name val="Arial"/>
      <charset val="1"/>
    </font>
    <font>
      <i/>
      <sz val="10"/>
      <color rgb="FF1F3864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4472C4"/>
        <bgColor rgb="FF2E75B6"/>
      </patternFill>
    </fill>
    <fill>
      <patternFill patternType="solid">
        <fgColor rgb="FFDEEAF1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7" fillId="4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165" fontId="7" fillId="7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165" fontId="8" fillId="5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5" fontId="4" fillId="7" borderId="1" xfId="0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10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166" fontId="4" fillId="4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165" fontId="7" fillId="10" borderId="1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165" fontId="7" fillId="11" borderId="1" xfId="0" applyNumberFormat="1" applyFont="1" applyFill="1" applyBorder="1" applyAlignment="1">
      <alignment horizontal="right" vertical="center"/>
    </xf>
    <xf numFmtId="0" fontId="7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165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164" fontId="5" fillId="4" borderId="1" xfId="0" applyNumberFormat="1" applyFont="1" applyFill="1" applyBorder="1" applyAlignment="1">
      <alignment horizontal="right" vertical="center"/>
    </xf>
    <xf numFmtId="168" fontId="5" fillId="4" borderId="1" xfId="0" applyNumberFormat="1" applyFont="1" applyFill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0" fontId="17" fillId="9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/>
    </xf>
    <xf numFmtId="168" fontId="5" fillId="9" borderId="1" xfId="0" applyNumberFormat="1" applyFont="1" applyFill="1" applyBorder="1" applyAlignment="1">
      <alignment horizontal="right" vertical="center"/>
    </xf>
    <xf numFmtId="165" fontId="4" fillId="9" borderId="1" xfId="0" applyNumberFormat="1" applyFont="1" applyFill="1" applyBorder="1" applyAlignment="1">
      <alignment horizontal="right" vertical="center"/>
    </xf>
    <xf numFmtId="165" fontId="0" fillId="6" borderId="1" xfId="0" applyNumberFormat="1" applyFill="1" applyBorder="1"/>
    <xf numFmtId="0" fontId="4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166" fontId="5" fillId="4" borderId="1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2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165" fontId="7" fillId="7" borderId="1" xfId="0" applyNumberFormat="1" applyFont="1" applyFill="1" applyBorder="1"/>
    <xf numFmtId="0" fontId="4" fillId="7" borderId="1" xfId="0" applyFont="1" applyFill="1" applyBorder="1" applyAlignment="1">
      <alignment horizontal="left" vertical="center" wrapText="1"/>
    </xf>
    <xf numFmtId="165" fontId="8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165" fontId="23" fillId="0" borderId="0" xfId="0" applyNumberFormat="1" applyFont="1"/>
    <xf numFmtId="165" fontId="24" fillId="0" borderId="0" xfId="0" applyNumberFormat="1" applyFont="1"/>
    <xf numFmtId="0" fontId="25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9" fontId="4" fillId="6" borderId="1" xfId="0" applyNumberFormat="1" applyFont="1" applyFill="1" applyBorder="1" applyAlignment="1">
      <alignment horizontal="right" vertical="center"/>
    </xf>
    <xf numFmtId="0" fontId="26" fillId="10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70" fontId="5" fillId="4" borderId="1" xfId="0" applyNumberFormat="1" applyFont="1" applyFill="1" applyBorder="1" applyAlignment="1">
      <alignment horizontal="right" vertical="center"/>
    </xf>
    <xf numFmtId="170" fontId="5" fillId="5" borderId="1" xfId="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right" vertical="center" wrapText="1"/>
    </xf>
    <xf numFmtId="166" fontId="4" fillId="5" borderId="1" xfId="0" applyNumberFormat="1" applyFont="1" applyFill="1" applyBorder="1" applyAlignment="1">
      <alignment horizontal="right" vertical="center"/>
    </xf>
    <xf numFmtId="165" fontId="16" fillId="7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7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right" vertical="center"/>
    </xf>
    <xf numFmtId="165" fontId="5" fillId="9" borderId="1" xfId="0" applyNumberFormat="1" applyFont="1" applyFill="1" applyBorder="1" applyAlignment="1">
      <alignment horizontal="right" vertical="center"/>
    </xf>
    <xf numFmtId="0" fontId="18" fillId="9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 wrapText="1"/>
    </xf>
    <xf numFmtId="165" fontId="5" fillId="7" borderId="1" xfId="0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horizontal="right" vertical="center"/>
    </xf>
    <xf numFmtId="166" fontId="7" fillId="7" borderId="1" xfId="0" applyNumberFormat="1" applyFont="1" applyFill="1" applyBorder="1" applyAlignment="1">
      <alignment horizontal="right" vertical="center"/>
    </xf>
    <xf numFmtId="166" fontId="16" fillId="7" borderId="1" xfId="0" applyNumberFormat="1" applyFont="1" applyFill="1" applyBorder="1" applyAlignment="1">
      <alignment horizontal="right" vertical="center"/>
    </xf>
    <xf numFmtId="171" fontId="4" fillId="5" borderId="1" xfId="0" applyNumberFormat="1" applyFont="1" applyFill="1" applyBorder="1" applyAlignment="1">
      <alignment horizontal="right" vertical="center"/>
    </xf>
    <xf numFmtId="171" fontId="8" fillId="5" borderId="1" xfId="0" applyNumberFormat="1" applyFont="1" applyFill="1" applyBorder="1" applyAlignment="1">
      <alignment horizontal="right" vertical="center"/>
    </xf>
    <xf numFmtId="172" fontId="4" fillId="5" borderId="1" xfId="0" applyNumberFormat="1" applyFont="1" applyFill="1" applyBorder="1" applyAlignment="1">
      <alignment horizontal="right" vertical="center"/>
    </xf>
    <xf numFmtId="172" fontId="8" fillId="5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73" fontId="5" fillId="0" borderId="1" xfId="0" applyNumberFormat="1" applyFont="1" applyBorder="1" applyAlignment="1">
      <alignment horizontal="right" vertical="center"/>
    </xf>
    <xf numFmtId="173" fontId="4" fillId="4" borderId="1" xfId="0" applyNumberFormat="1" applyFont="1" applyFill="1" applyBorder="1" applyAlignment="1">
      <alignment horizontal="center" vertical="center"/>
    </xf>
    <xf numFmtId="173" fontId="4" fillId="5" borderId="1" xfId="0" applyNumberFormat="1" applyFont="1" applyFill="1" applyBorder="1" applyAlignment="1">
      <alignment horizontal="center" vertical="center"/>
    </xf>
    <xf numFmtId="17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1" fillId="2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7" fillId="9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165" fontId="7" fillId="6" borderId="2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165" fontId="7" fillId="7" borderId="2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4" fillId="4" borderId="2" xfId="0" applyNumberFormat="1" applyFont="1" applyFill="1" applyBorder="1" applyAlignment="1">
      <alignment horizontal="right" vertical="center"/>
    </xf>
    <xf numFmtId="165" fontId="4" fillId="5" borderId="2" xfId="0" applyNumberFormat="1" applyFont="1" applyFill="1" applyBorder="1" applyAlignment="1">
      <alignment horizontal="right" vertical="center"/>
    </xf>
    <xf numFmtId="165" fontId="4" fillId="7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/>
    </xf>
    <xf numFmtId="169" fontId="5" fillId="4" borderId="2" xfId="0" applyNumberFormat="1" applyFont="1" applyFill="1" applyBorder="1" applyAlignment="1">
      <alignment horizontal="right" vertical="center"/>
    </xf>
    <xf numFmtId="165" fontId="25" fillId="7" borderId="2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zoomScaleNormal="100" workbookViewId="0">
      <selection sqref="A1:D1"/>
    </sheetView>
  </sheetViews>
  <sheetFormatPr baseColWidth="10" defaultColWidth="8.7109375" defaultRowHeight="15" customHeight="1" x14ac:dyDescent="0.25"/>
  <cols>
    <col min="1" max="1" width="32" customWidth="1"/>
    <col min="2" max="4" width="22" customWidth="1"/>
  </cols>
  <sheetData>
    <row r="1" spans="1:4" ht="13.5" customHeight="1" x14ac:dyDescent="0.25">
      <c r="A1" s="133" t="s">
        <v>0</v>
      </c>
      <c r="B1" s="133"/>
      <c r="C1" s="133"/>
      <c r="D1" s="133"/>
    </row>
    <row r="2" spans="1:4" ht="39.75" customHeight="1" x14ac:dyDescent="0.25">
      <c r="A2" s="134" t="s">
        <v>1</v>
      </c>
      <c r="B2" s="134"/>
      <c r="C2" s="134"/>
      <c r="D2" s="134"/>
    </row>
    <row r="3" spans="1:4" ht="18" customHeight="1" x14ac:dyDescent="0.25">
      <c r="A3" s="4" t="s">
        <v>2</v>
      </c>
      <c r="B3" s="4" t="s">
        <v>3</v>
      </c>
      <c r="C3" s="4" t="s">
        <v>4</v>
      </c>
      <c r="D3" s="4" t="s">
        <v>5</v>
      </c>
    </row>
    <row r="4" spans="1:4" ht="15" customHeight="1" x14ac:dyDescent="0.25">
      <c r="A4" s="5" t="s">
        <v>6</v>
      </c>
      <c r="B4" s="6" t="s">
        <v>3</v>
      </c>
      <c r="C4" s="6" t="s">
        <v>4</v>
      </c>
      <c r="D4" s="6" t="s">
        <v>7</v>
      </c>
    </row>
    <row r="5" spans="1:4" ht="15" customHeight="1" x14ac:dyDescent="0.25">
      <c r="A5" s="7" t="s">
        <v>8</v>
      </c>
      <c r="B5" s="8" t="s">
        <v>9</v>
      </c>
      <c r="C5" s="8" t="s">
        <v>9</v>
      </c>
      <c r="D5" s="8" t="s">
        <v>7</v>
      </c>
    </row>
    <row r="6" spans="1:4" ht="15" customHeight="1" x14ac:dyDescent="0.25">
      <c r="A6" s="5" t="s">
        <v>10</v>
      </c>
      <c r="B6" s="6" t="s">
        <v>11</v>
      </c>
      <c r="C6" s="6" t="s">
        <v>12</v>
      </c>
      <c r="D6" s="6" t="s">
        <v>7</v>
      </c>
    </row>
    <row r="7" spans="1:4" ht="15" customHeight="1" x14ac:dyDescent="0.25">
      <c r="A7" s="7" t="s">
        <v>13</v>
      </c>
      <c r="B7" s="9">
        <v>120</v>
      </c>
      <c r="C7" s="9">
        <v>444</v>
      </c>
      <c r="D7" s="10">
        <f>B7+C7</f>
        <v>564</v>
      </c>
    </row>
    <row r="8" spans="1:4" ht="15" customHeight="1" x14ac:dyDescent="0.25">
      <c r="A8" s="5" t="s">
        <v>14</v>
      </c>
      <c r="B8" s="9">
        <v>160</v>
      </c>
      <c r="C8" s="9">
        <v>220</v>
      </c>
      <c r="D8" s="10">
        <f>B8+C8</f>
        <v>380</v>
      </c>
    </row>
    <row r="9" spans="1:4" ht="15" customHeight="1" x14ac:dyDescent="0.25">
      <c r="A9" s="7" t="s">
        <v>15</v>
      </c>
      <c r="B9" s="11">
        <v>460</v>
      </c>
      <c r="C9" s="11">
        <v>460</v>
      </c>
      <c r="D9" s="12" t="s">
        <v>16</v>
      </c>
    </row>
    <row r="10" spans="1:4" ht="15" customHeight="1" x14ac:dyDescent="0.25">
      <c r="A10" s="13" t="s">
        <v>17</v>
      </c>
      <c r="B10" s="14">
        <f>B7*B9</f>
        <v>55200</v>
      </c>
      <c r="C10" s="14">
        <f>C7*C9</f>
        <v>204240</v>
      </c>
      <c r="D10" s="15">
        <f>B10+C10</f>
        <v>259440</v>
      </c>
    </row>
    <row r="11" spans="1:4" ht="15" customHeight="1" x14ac:dyDescent="0.25">
      <c r="A11" s="7" t="s">
        <v>18</v>
      </c>
      <c r="B11" s="16">
        <f>Wertermittlung!C26</f>
        <v>108780</v>
      </c>
      <c r="C11" s="16">
        <f>Wertermittlung!E26</f>
        <v>482790.00000000006</v>
      </c>
      <c r="D11" s="15">
        <f>B11+C11</f>
        <v>591570</v>
      </c>
    </row>
    <row r="12" spans="1:4" ht="15" customHeight="1" x14ac:dyDescent="0.25">
      <c r="A12" s="13" t="s">
        <v>19</v>
      </c>
      <c r="B12" s="15">
        <f>B10+B11</f>
        <v>163980</v>
      </c>
      <c r="C12" s="15">
        <f>C10+C11</f>
        <v>687030</v>
      </c>
      <c r="D12" s="15">
        <f>B12+C12</f>
        <v>851010</v>
      </c>
    </row>
    <row r="13" spans="1:4" ht="15" customHeight="1" x14ac:dyDescent="0.25">
      <c r="A13" s="17" t="s">
        <v>20</v>
      </c>
      <c r="B13" s="18">
        <f>Marktwert!B21</f>
        <v>0</v>
      </c>
      <c r="C13" s="18">
        <f>Marktwert!D21</f>
        <v>0</v>
      </c>
      <c r="D13" s="18">
        <f>Marktwert!D28</f>
        <v>5200</v>
      </c>
    </row>
    <row r="14" spans="1:4" ht="15" customHeight="1" x14ac:dyDescent="0.25">
      <c r="A14" s="19" t="s">
        <v>21</v>
      </c>
      <c r="B14" s="16">
        <f>Wertermittlung!C30</f>
        <v>150066</v>
      </c>
      <c r="C14" s="16">
        <f>Wertermittlung!E30</f>
        <v>636708.6</v>
      </c>
      <c r="D14" s="15">
        <f>B13+C13</f>
        <v>0</v>
      </c>
    </row>
    <row r="15" spans="1:4" ht="30" customHeight="1" x14ac:dyDescent="0.25">
      <c r="A15" s="135"/>
      <c r="B15" s="135"/>
      <c r="C15" s="135"/>
      <c r="D15" s="135"/>
    </row>
    <row r="16" spans="1:4" ht="42.75" customHeight="1" x14ac:dyDescent="0.25">
      <c r="A16" s="20" t="s">
        <v>22</v>
      </c>
    </row>
    <row r="17" spans="1:4" ht="21.75" customHeight="1" x14ac:dyDescent="0.25">
      <c r="A17" s="135"/>
      <c r="B17" s="135"/>
      <c r="C17" s="135"/>
      <c r="D17" s="135"/>
    </row>
    <row r="18" spans="1:4" ht="15" customHeight="1" x14ac:dyDescent="0.25">
      <c r="A18" s="21" t="s">
        <v>23</v>
      </c>
      <c r="C18" s="135"/>
      <c r="D18" s="135"/>
    </row>
    <row r="19" spans="1:4" ht="15" customHeight="1" x14ac:dyDescent="0.25">
      <c r="A19" s="4" t="s">
        <v>2</v>
      </c>
      <c r="B19" s="4" t="s">
        <v>24</v>
      </c>
      <c r="C19" s="136" t="s">
        <v>25</v>
      </c>
      <c r="D19" s="136"/>
    </row>
    <row r="20" spans="1:4" ht="15" customHeight="1" x14ac:dyDescent="0.25">
      <c r="A20" s="7" t="s">
        <v>26</v>
      </c>
      <c r="B20" s="22">
        <f>D12</f>
        <v>851010</v>
      </c>
      <c r="C20" s="137" t="s">
        <v>27</v>
      </c>
      <c r="D20" s="137"/>
    </row>
    <row r="21" spans="1:4" ht="15" customHeight="1" x14ac:dyDescent="0.25">
      <c r="A21" s="5" t="s">
        <v>28</v>
      </c>
      <c r="B21" s="23">
        <v>400000</v>
      </c>
      <c r="C21" s="138" t="s">
        <v>29</v>
      </c>
      <c r="D21" s="138"/>
    </row>
    <row r="22" spans="1:4" ht="15" customHeight="1" x14ac:dyDescent="0.25">
      <c r="A22" s="7" t="s">
        <v>30</v>
      </c>
      <c r="B22" s="24">
        <v>1200000</v>
      </c>
      <c r="C22" s="137" t="s">
        <v>31</v>
      </c>
      <c r="D22" s="137"/>
    </row>
    <row r="23" spans="1:4" ht="15" customHeight="1" x14ac:dyDescent="0.25">
      <c r="A23" s="17" t="s">
        <v>32</v>
      </c>
      <c r="B23" s="25">
        <f>Schenkungssteuer!A40</f>
        <v>0</v>
      </c>
      <c r="C23" s="139" t="s">
        <v>33</v>
      </c>
      <c r="D23" s="139"/>
    </row>
    <row r="24" spans="1:4" ht="15" customHeight="1" x14ac:dyDescent="0.25">
      <c r="A24" s="19" t="s">
        <v>34</v>
      </c>
      <c r="B24" s="26">
        <f>Schenkungssteuer!A41</f>
        <v>0</v>
      </c>
      <c r="C24" s="3" t="s">
        <v>35</v>
      </c>
      <c r="D24" s="27"/>
    </row>
  </sheetData>
  <mergeCells count="10">
    <mergeCell ref="C19:D19"/>
    <mergeCell ref="C20:D20"/>
    <mergeCell ref="C21:D21"/>
    <mergeCell ref="C22:D22"/>
    <mergeCell ref="C23:D23"/>
    <mergeCell ref="A1:D1"/>
    <mergeCell ref="A2:D2"/>
    <mergeCell ref="A15:D15"/>
    <mergeCell ref="A17:D17"/>
    <mergeCell ref="C18:D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zoomScaleNormal="100" workbookViewId="0">
      <selection sqref="A1:E1"/>
    </sheetView>
  </sheetViews>
  <sheetFormatPr baseColWidth="10" defaultColWidth="8.7109375" defaultRowHeight="15" customHeight="1" x14ac:dyDescent="0.25"/>
  <cols>
    <col min="1" max="1" width="35" customWidth="1"/>
    <col min="2" max="2" width="16" customWidth="1"/>
    <col min="3" max="3" width="18" customWidth="1"/>
    <col min="4" max="4" width="16" customWidth="1"/>
    <col min="5" max="5" width="18" customWidth="1"/>
  </cols>
  <sheetData>
    <row r="1" spans="1:5" ht="30" customHeight="1" x14ac:dyDescent="0.25">
      <c r="A1" s="141" t="s">
        <v>36</v>
      </c>
      <c r="B1" s="141"/>
      <c r="C1" s="141"/>
      <c r="D1" s="141"/>
      <c r="E1" s="141"/>
    </row>
    <row r="2" spans="1:5" ht="34.5" customHeight="1" x14ac:dyDescent="0.25">
      <c r="A2" s="28" t="s">
        <v>37</v>
      </c>
      <c r="B2" s="28" t="s">
        <v>38</v>
      </c>
      <c r="C2" s="28" t="s">
        <v>39</v>
      </c>
      <c r="D2" s="28" t="s">
        <v>38</v>
      </c>
      <c r="E2" s="28" t="s">
        <v>40</v>
      </c>
    </row>
    <row r="3" spans="1:5" ht="19.5" customHeight="1" x14ac:dyDescent="0.25">
      <c r="A3" s="142" t="s">
        <v>41</v>
      </c>
      <c r="B3" s="142"/>
      <c r="C3" s="142"/>
      <c r="D3" s="142"/>
      <c r="E3" s="142"/>
    </row>
    <row r="4" spans="1:5" ht="15" customHeight="1" x14ac:dyDescent="0.25">
      <c r="A4" s="5" t="s">
        <v>42</v>
      </c>
      <c r="B4" s="6" t="s">
        <v>43</v>
      </c>
      <c r="C4" s="29">
        <v>120</v>
      </c>
      <c r="D4" s="6" t="s">
        <v>43</v>
      </c>
      <c r="E4" s="29">
        <v>444</v>
      </c>
    </row>
    <row r="5" spans="1:5" ht="15" customHeight="1" x14ac:dyDescent="0.25">
      <c r="A5" s="30" t="s">
        <v>44</v>
      </c>
      <c r="B5" s="31" t="s">
        <v>45</v>
      </c>
      <c r="C5" s="32">
        <v>460</v>
      </c>
      <c r="D5" s="31" t="s">
        <v>45</v>
      </c>
      <c r="E5" s="32">
        <v>460</v>
      </c>
    </row>
    <row r="6" spans="1:5" ht="15" customHeight="1" x14ac:dyDescent="0.25">
      <c r="A6" s="33" t="s">
        <v>46</v>
      </c>
      <c r="B6" s="34" t="s">
        <v>47</v>
      </c>
      <c r="C6" s="15">
        <f>C4*C5</f>
        <v>55200</v>
      </c>
      <c r="D6" s="34" t="s">
        <v>47</v>
      </c>
      <c r="E6" s="15">
        <f>E4*E5</f>
        <v>204240</v>
      </c>
    </row>
    <row r="8" spans="1:5" ht="19.5" customHeight="1" x14ac:dyDescent="0.25">
      <c r="A8" s="142" t="s">
        <v>48</v>
      </c>
      <c r="B8" s="142"/>
      <c r="C8" s="142"/>
      <c r="D8" s="142"/>
      <c r="E8" s="142"/>
    </row>
    <row r="9" spans="1:5" ht="15" customHeight="1" x14ac:dyDescent="0.25">
      <c r="A9" s="5" t="s">
        <v>49</v>
      </c>
      <c r="B9" s="6" t="s">
        <v>43</v>
      </c>
      <c r="C9" s="29">
        <v>160</v>
      </c>
      <c r="D9" s="6" t="s">
        <v>43</v>
      </c>
      <c r="E9" s="29">
        <v>220</v>
      </c>
    </row>
    <row r="10" spans="1:5" ht="15" customHeight="1" x14ac:dyDescent="0.25">
      <c r="A10" s="30" t="s">
        <v>50</v>
      </c>
      <c r="B10" s="31" t="s">
        <v>45</v>
      </c>
      <c r="C10" s="32">
        <v>1400</v>
      </c>
      <c r="D10" s="31" t="s">
        <v>45</v>
      </c>
      <c r="E10" s="32">
        <v>2100</v>
      </c>
    </row>
    <row r="11" spans="1:5" ht="15" customHeight="1" x14ac:dyDescent="0.25">
      <c r="A11" s="5" t="s">
        <v>10</v>
      </c>
      <c r="B11" s="6" t="s">
        <v>51</v>
      </c>
      <c r="C11" s="29">
        <v>1982</v>
      </c>
      <c r="D11" s="6" t="s">
        <v>51</v>
      </c>
      <c r="E11" s="29">
        <v>2021</v>
      </c>
    </row>
    <row r="12" spans="1:5" ht="15" customHeight="1" x14ac:dyDescent="0.25">
      <c r="A12" s="30" t="s">
        <v>52</v>
      </c>
      <c r="B12" s="31" t="s">
        <v>51</v>
      </c>
      <c r="C12" s="32">
        <v>2025</v>
      </c>
      <c r="D12" s="31" t="s">
        <v>51</v>
      </c>
      <c r="E12" s="35">
        <f>C12</f>
        <v>2025</v>
      </c>
    </row>
    <row r="13" spans="1:5" ht="15" customHeight="1" x14ac:dyDescent="0.25">
      <c r="A13" s="5" t="s">
        <v>53</v>
      </c>
      <c r="B13" s="6" t="s">
        <v>54</v>
      </c>
      <c r="C13" s="36">
        <f>C12-C11</f>
        <v>43</v>
      </c>
      <c r="D13" s="6" t="s">
        <v>54</v>
      </c>
      <c r="E13" s="36">
        <f>E12-E11</f>
        <v>4</v>
      </c>
    </row>
    <row r="14" spans="1:5" ht="15" customHeight="1" x14ac:dyDescent="0.25">
      <c r="A14" s="30" t="s">
        <v>55</v>
      </c>
      <c r="B14" s="31" t="s">
        <v>54</v>
      </c>
      <c r="C14" s="32">
        <v>80</v>
      </c>
      <c r="D14" s="31" t="s">
        <v>54</v>
      </c>
      <c r="E14" s="32">
        <v>80</v>
      </c>
    </row>
    <row r="15" spans="1:5" ht="15" customHeight="1" x14ac:dyDescent="0.25">
      <c r="A15" s="5" t="s">
        <v>56</v>
      </c>
      <c r="B15" s="6" t="s">
        <v>57</v>
      </c>
      <c r="C15" s="37">
        <f>MIN(C13/C14, 0.7)</f>
        <v>0.53749999999999998</v>
      </c>
      <c r="D15" s="6" t="s">
        <v>57</v>
      </c>
      <c r="E15" s="37">
        <f>MIN(E13/E14, 0.7)</f>
        <v>0.05</v>
      </c>
    </row>
    <row r="16" spans="1:5" ht="15" customHeight="1" x14ac:dyDescent="0.25">
      <c r="A16" s="30" t="s">
        <v>58</v>
      </c>
      <c r="B16" s="31" t="s">
        <v>57</v>
      </c>
      <c r="C16" s="38">
        <f>1-C15</f>
        <v>0.46250000000000002</v>
      </c>
      <c r="D16" s="31" t="s">
        <v>57</v>
      </c>
      <c r="E16" s="38">
        <f>1-E15</f>
        <v>0.95</v>
      </c>
    </row>
    <row r="17" spans="1:5" ht="15" customHeight="1" x14ac:dyDescent="0.25">
      <c r="A17" s="33" t="s">
        <v>59</v>
      </c>
      <c r="B17" s="34" t="s">
        <v>47</v>
      </c>
      <c r="C17" s="15">
        <f>C9*C10*C16</f>
        <v>103600</v>
      </c>
      <c r="D17" s="34" t="s">
        <v>47</v>
      </c>
      <c r="E17" s="15">
        <f>E9*E10*E16</f>
        <v>438900</v>
      </c>
    </row>
    <row r="19" spans="1:5" ht="19.5" customHeight="1" x14ac:dyDescent="0.25">
      <c r="A19" s="142" t="s">
        <v>60</v>
      </c>
      <c r="B19" s="142"/>
      <c r="C19" s="142"/>
      <c r="D19" s="142"/>
      <c r="E19" s="142"/>
    </row>
    <row r="20" spans="1:5" ht="15" customHeight="1" x14ac:dyDescent="0.25">
      <c r="A20" s="5" t="s">
        <v>61</v>
      </c>
      <c r="B20" s="6" t="s">
        <v>47</v>
      </c>
      <c r="C20" s="39">
        <f>C6</f>
        <v>55200</v>
      </c>
      <c r="D20" s="6" t="s">
        <v>47</v>
      </c>
      <c r="E20" s="39">
        <f>E6</f>
        <v>204240</v>
      </c>
    </row>
    <row r="21" spans="1:5" ht="15" customHeight="1" x14ac:dyDescent="0.25">
      <c r="A21" s="30" t="s">
        <v>62</v>
      </c>
      <c r="B21" s="31" t="s">
        <v>47</v>
      </c>
      <c r="C21" s="16">
        <f>C17</f>
        <v>103600</v>
      </c>
      <c r="D21" s="31" t="s">
        <v>47</v>
      </c>
      <c r="E21" s="16">
        <f>E17</f>
        <v>438900</v>
      </c>
    </row>
    <row r="22" spans="1:5" ht="15" customHeight="1" x14ac:dyDescent="0.25">
      <c r="A22" s="5" t="s">
        <v>63</v>
      </c>
      <c r="B22" s="6" t="s">
        <v>47</v>
      </c>
      <c r="C22" s="40">
        <f>C20+C21</f>
        <v>158800</v>
      </c>
      <c r="D22" s="6" t="s">
        <v>47</v>
      </c>
      <c r="E22" s="40">
        <f>E20+E21</f>
        <v>643140</v>
      </c>
    </row>
    <row r="23" spans="1:5" ht="15" customHeight="1" x14ac:dyDescent="0.25">
      <c r="A23" s="30" t="s">
        <v>64</v>
      </c>
      <c r="B23" s="31" t="s">
        <v>65</v>
      </c>
      <c r="C23" s="41">
        <v>1.05</v>
      </c>
      <c r="D23" s="31" t="s">
        <v>65</v>
      </c>
      <c r="E23" s="41">
        <v>1.1000000000000001</v>
      </c>
    </row>
    <row r="24" spans="1:5" ht="15" customHeight="1" x14ac:dyDescent="0.25">
      <c r="A24" s="33" t="s">
        <v>27</v>
      </c>
      <c r="B24" s="34" t="s">
        <v>47</v>
      </c>
      <c r="C24" s="15">
        <f>C22*C23</f>
        <v>166740</v>
      </c>
      <c r="D24" s="34" t="s">
        <v>47</v>
      </c>
      <c r="E24" s="15">
        <f>E22*E23</f>
        <v>707454</v>
      </c>
    </row>
    <row r="26" spans="1:5" ht="15" customHeight="1" x14ac:dyDescent="0.25">
      <c r="A26" s="5" t="s">
        <v>66</v>
      </c>
      <c r="B26" s="6" t="s">
        <v>47</v>
      </c>
      <c r="C26" s="39">
        <f>C21*C23</f>
        <v>108780</v>
      </c>
      <c r="D26" s="6" t="s">
        <v>47</v>
      </c>
      <c r="E26" s="39">
        <f>E21*E23</f>
        <v>482790.00000000006</v>
      </c>
    </row>
    <row r="28" spans="1:5" ht="15" customHeight="1" x14ac:dyDescent="0.25">
      <c r="A28" s="30" t="s">
        <v>67</v>
      </c>
      <c r="B28" s="31" t="s">
        <v>57</v>
      </c>
      <c r="C28" s="42">
        <v>0.9</v>
      </c>
      <c r="D28" s="31" t="s">
        <v>57</v>
      </c>
      <c r="E28" s="42">
        <v>0.9</v>
      </c>
    </row>
    <row r="30" spans="1:5" ht="15" customHeight="1" x14ac:dyDescent="0.25">
      <c r="A30" s="17" t="s">
        <v>68</v>
      </c>
      <c r="B30" s="43" t="s">
        <v>47</v>
      </c>
      <c r="C30" s="25">
        <f>C24*C28</f>
        <v>150066</v>
      </c>
      <c r="D30" s="43" t="s">
        <v>47</v>
      </c>
      <c r="E30" s="25">
        <f>E24*E28</f>
        <v>636708.6</v>
      </c>
    </row>
    <row r="32" spans="1:5" ht="18.75" customHeight="1" x14ac:dyDescent="0.25">
      <c r="A32" s="143" t="s">
        <v>69</v>
      </c>
      <c r="B32" s="143"/>
      <c r="C32" s="143"/>
      <c r="D32" s="143"/>
      <c r="E32" s="143"/>
    </row>
    <row r="33" spans="1:5" ht="15" customHeight="1" x14ac:dyDescent="0.25">
      <c r="A33" s="140" t="s">
        <v>70</v>
      </c>
      <c r="B33" s="140"/>
      <c r="C33" s="140"/>
      <c r="D33" s="140"/>
      <c r="E33" s="140"/>
    </row>
  </sheetData>
  <mergeCells count="6">
    <mergeCell ref="A33:E33"/>
    <mergeCell ref="A1:E1"/>
    <mergeCell ref="A3:E3"/>
    <mergeCell ref="A8:E8"/>
    <mergeCell ref="A19:E19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topLeftCell="A61" zoomScaleNormal="100" workbookViewId="0">
      <selection sqref="A1:E2"/>
    </sheetView>
  </sheetViews>
  <sheetFormatPr baseColWidth="10" defaultColWidth="8.7109375" defaultRowHeight="15" customHeight="1" x14ac:dyDescent="0.25"/>
  <cols>
    <col min="1" max="1" width="75.7109375" bestFit="1" customWidth="1"/>
    <col min="2" max="4" width="20" customWidth="1"/>
    <col min="5" max="5" width="28" customWidth="1"/>
  </cols>
  <sheetData>
    <row r="1" spans="1:5" ht="30" customHeight="1" x14ac:dyDescent="0.25">
      <c r="A1" s="141" t="s">
        <v>71</v>
      </c>
      <c r="B1" s="141"/>
      <c r="C1" s="141"/>
      <c r="D1" s="141"/>
      <c r="E1" s="141"/>
    </row>
    <row r="2" spans="1:5" ht="21.75" customHeight="1" x14ac:dyDescent="0.25">
      <c r="A2" s="144" t="s">
        <v>72</v>
      </c>
      <c r="B2" s="144"/>
      <c r="C2" s="144"/>
      <c r="D2" s="144"/>
      <c r="E2" s="144"/>
    </row>
    <row r="3" spans="1:5" x14ac:dyDescent="0.25"/>
    <row r="4" spans="1:5" ht="19.5" customHeight="1" x14ac:dyDescent="0.25">
      <c r="A4" s="142" t="s">
        <v>73</v>
      </c>
      <c r="B4" s="142"/>
      <c r="C4" s="142"/>
      <c r="D4" s="142"/>
      <c r="E4" s="142"/>
    </row>
    <row r="5" spans="1:5" ht="30" customHeight="1" x14ac:dyDescent="0.25">
      <c r="A5" s="4" t="s">
        <v>74</v>
      </c>
      <c r="B5" s="4" t="s">
        <v>75</v>
      </c>
      <c r="C5" s="4" t="s">
        <v>76</v>
      </c>
      <c r="D5" s="4" t="s">
        <v>77</v>
      </c>
      <c r="E5" s="4" t="s">
        <v>76</v>
      </c>
    </row>
    <row r="6" spans="1:5" ht="27.75" customHeight="1" x14ac:dyDescent="0.25">
      <c r="A6" s="1" t="s">
        <v>78</v>
      </c>
      <c r="B6" s="44" t="s">
        <v>79</v>
      </c>
      <c r="C6" s="45" t="s">
        <v>7</v>
      </c>
      <c r="D6" s="44" t="s">
        <v>80</v>
      </c>
      <c r="E6" s="46" t="s">
        <v>81</v>
      </c>
    </row>
    <row r="7" spans="1:5" ht="27.75" customHeight="1" x14ac:dyDescent="0.25">
      <c r="A7" s="47" t="s">
        <v>49</v>
      </c>
      <c r="B7" s="48" t="s">
        <v>82</v>
      </c>
      <c r="C7" s="49" t="s">
        <v>83</v>
      </c>
      <c r="D7" s="48" t="s">
        <v>84</v>
      </c>
      <c r="E7" s="50" t="s">
        <v>85</v>
      </c>
    </row>
    <row r="8" spans="1:5" ht="27.75" customHeight="1" x14ac:dyDescent="0.25">
      <c r="A8" s="1" t="s">
        <v>86</v>
      </c>
      <c r="B8" s="44" t="s">
        <v>87</v>
      </c>
      <c r="C8" s="45" t="s">
        <v>88</v>
      </c>
      <c r="D8" s="44" t="s">
        <v>89</v>
      </c>
      <c r="E8" s="46" t="s">
        <v>85</v>
      </c>
    </row>
    <row r="9" spans="1:5" ht="27.75" customHeight="1" x14ac:dyDescent="0.25">
      <c r="A9" s="47" t="s">
        <v>90</v>
      </c>
      <c r="B9" s="48" t="s">
        <v>91</v>
      </c>
      <c r="C9" s="51" t="s">
        <v>92</v>
      </c>
      <c r="D9" s="48" t="s">
        <v>93</v>
      </c>
      <c r="E9" s="50" t="s">
        <v>94</v>
      </c>
    </row>
    <row r="10" spans="1:5" ht="51" x14ac:dyDescent="0.25">
      <c r="A10" s="1" t="s">
        <v>95</v>
      </c>
      <c r="B10" s="44" t="s">
        <v>96</v>
      </c>
      <c r="C10" s="45" t="s">
        <v>97</v>
      </c>
      <c r="D10" s="44" t="s">
        <v>98</v>
      </c>
      <c r="E10" s="46" t="s">
        <v>99</v>
      </c>
    </row>
    <row r="11" spans="1:5" ht="27.75" customHeight="1" x14ac:dyDescent="0.25">
      <c r="A11" s="47" t="s">
        <v>100</v>
      </c>
      <c r="B11" s="48" t="s">
        <v>101</v>
      </c>
      <c r="C11" s="49" t="s">
        <v>83</v>
      </c>
      <c r="D11" s="48" t="s">
        <v>102</v>
      </c>
      <c r="E11" s="50" t="s">
        <v>103</v>
      </c>
    </row>
    <row r="12" spans="1:5" ht="27.75" customHeight="1" x14ac:dyDescent="0.25">
      <c r="A12" s="145" t="s">
        <v>104</v>
      </c>
      <c r="B12" s="145"/>
      <c r="C12" s="145"/>
      <c r="D12" s="145"/>
      <c r="E12" s="145"/>
    </row>
    <row r="13" spans="1:5" ht="27.75" customHeight="1" x14ac:dyDescent="0.25">
      <c r="A13" s="47" t="s">
        <v>105</v>
      </c>
      <c r="B13" s="48" t="s">
        <v>106</v>
      </c>
      <c r="C13" s="49" t="s">
        <v>83</v>
      </c>
      <c r="D13" s="48" t="s">
        <v>107</v>
      </c>
      <c r="E13" s="50" t="s">
        <v>85</v>
      </c>
    </row>
    <row r="14" spans="1:5" ht="45" customHeight="1" x14ac:dyDescent="0.25">
      <c r="A14" s="146" t="s">
        <v>108</v>
      </c>
      <c r="B14" s="146"/>
      <c r="C14" s="146"/>
      <c r="D14" s="146"/>
      <c r="E14" s="146"/>
    </row>
    <row r="15" spans="1:5" ht="7.5" customHeight="1" x14ac:dyDescent="0.25"/>
    <row r="16" spans="1:5" x14ac:dyDescent="0.25"/>
    <row r="17" spans="1:5" x14ac:dyDescent="0.25"/>
    <row r="18" spans="1:5" x14ac:dyDescent="0.25"/>
    <row r="19" spans="1:5" x14ac:dyDescent="0.25"/>
    <row r="20" spans="1:5" x14ac:dyDescent="0.25"/>
    <row r="21" spans="1:5" ht="23.25" customHeight="1" x14ac:dyDescent="0.25"/>
    <row r="22" spans="1:5" ht="15" customHeight="1" x14ac:dyDescent="0.25">
      <c r="A22" s="2" t="s">
        <v>109</v>
      </c>
    </row>
    <row r="23" spans="1:5" ht="23.25" customHeight="1" x14ac:dyDescent="0.25">
      <c r="A23" s="4" t="s">
        <v>110</v>
      </c>
      <c r="B23" s="4" t="s">
        <v>111</v>
      </c>
      <c r="C23" s="4" t="s">
        <v>112</v>
      </c>
      <c r="D23" s="4" t="s">
        <v>113</v>
      </c>
      <c r="E23" s="4" t="s">
        <v>114</v>
      </c>
    </row>
    <row r="24" spans="1:5" ht="19.5" customHeight="1" x14ac:dyDescent="0.25">
      <c r="A24" s="147" t="s">
        <v>115</v>
      </c>
      <c r="B24" s="147"/>
      <c r="C24" s="147"/>
      <c r="D24" s="147"/>
      <c r="E24" s="147"/>
    </row>
    <row r="25" spans="1:5" ht="15" customHeight="1" x14ac:dyDescent="0.25">
      <c r="A25" s="48" t="s">
        <v>116</v>
      </c>
      <c r="B25" s="24">
        <v>3400</v>
      </c>
      <c r="C25" s="24">
        <v>4217</v>
      </c>
      <c r="D25" s="24">
        <v>5100</v>
      </c>
      <c r="E25" s="52" t="s">
        <v>117</v>
      </c>
    </row>
    <row r="26" spans="1:5" ht="23.25" customHeight="1" x14ac:dyDescent="0.25">
      <c r="A26" s="44" t="s">
        <v>118</v>
      </c>
      <c r="B26" s="23">
        <v>2600</v>
      </c>
      <c r="C26" s="23">
        <v>3100</v>
      </c>
      <c r="D26" s="23">
        <v>3600</v>
      </c>
      <c r="E26" s="53" t="s">
        <v>119</v>
      </c>
    </row>
    <row r="27" spans="1:5" ht="23.25" customHeight="1" x14ac:dyDescent="0.25">
      <c r="A27" s="48" t="s">
        <v>120</v>
      </c>
      <c r="B27" s="24">
        <v>3000</v>
      </c>
      <c r="C27" s="24">
        <v>3600</v>
      </c>
      <c r="D27" s="24">
        <v>4200</v>
      </c>
      <c r="E27" s="52" t="s">
        <v>121</v>
      </c>
    </row>
    <row r="28" spans="1:5" ht="23.25" customHeight="1" x14ac:dyDescent="0.25">
      <c r="A28" s="44" t="s">
        <v>122</v>
      </c>
      <c r="B28" s="23">
        <v>3800</v>
      </c>
      <c r="C28" s="23">
        <v>4400</v>
      </c>
      <c r="D28" s="23">
        <v>5200</v>
      </c>
      <c r="E28" s="53" t="s">
        <v>123</v>
      </c>
    </row>
    <row r="29" spans="1:5" x14ac:dyDescent="0.25"/>
    <row r="30" spans="1:5" ht="23.25" customHeight="1" x14ac:dyDescent="0.25">
      <c r="A30" s="2" t="s">
        <v>124</v>
      </c>
    </row>
    <row r="31" spans="1:5" ht="15" customHeight="1" x14ac:dyDescent="0.25">
      <c r="A31" s="4" t="s">
        <v>37</v>
      </c>
      <c r="B31" s="4" t="s">
        <v>125</v>
      </c>
      <c r="C31" s="4" t="s">
        <v>38</v>
      </c>
      <c r="D31" s="4" t="s">
        <v>126</v>
      </c>
      <c r="E31" s="4" t="s">
        <v>38</v>
      </c>
    </row>
    <row r="32" spans="1:5" ht="45" customHeight="1" x14ac:dyDescent="0.25">
      <c r="A32" s="147" t="s">
        <v>49</v>
      </c>
      <c r="B32" s="147"/>
      <c r="C32" s="147"/>
      <c r="D32" s="147"/>
      <c r="E32" s="147"/>
    </row>
    <row r="33" spans="1:5" ht="30" customHeight="1" x14ac:dyDescent="0.25">
      <c r="A33" s="148" t="s">
        <v>127</v>
      </c>
      <c r="B33" s="148"/>
      <c r="C33" s="148"/>
      <c r="D33" s="148"/>
      <c r="E33" s="148"/>
    </row>
    <row r="34" spans="1:5" ht="34.5" customHeight="1" x14ac:dyDescent="0.25">
      <c r="A34" s="44" t="s">
        <v>128</v>
      </c>
      <c r="B34" s="23">
        <v>2600</v>
      </c>
      <c r="C34" s="55" t="s">
        <v>129</v>
      </c>
      <c r="D34" s="23">
        <v>4400</v>
      </c>
      <c r="E34" s="53" t="s">
        <v>130</v>
      </c>
    </row>
    <row r="35" spans="1:5" ht="34.5" customHeight="1" x14ac:dyDescent="0.25">
      <c r="A35" s="54" t="s">
        <v>131</v>
      </c>
      <c r="B35" s="11">
        <v>2950</v>
      </c>
      <c r="C35" s="56" t="s">
        <v>129</v>
      </c>
      <c r="D35" s="11">
        <v>4900</v>
      </c>
      <c r="E35" s="57" t="s">
        <v>132</v>
      </c>
    </row>
    <row r="36" spans="1:5" ht="23.25" customHeight="1" x14ac:dyDescent="0.25">
      <c r="A36" s="44" t="s">
        <v>133</v>
      </c>
      <c r="B36" s="23">
        <v>3250</v>
      </c>
      <c r="C36" s="55" t="s">
        <v>129</v>
      </c>
      <c r="D36" s="23">
        <v>5400</v>
      </c>
      <c r="E36" s="53" t="s">
        <v>134</v>
      </c>
    </row>
    <row r="37" spans="1:5" x14ac:dyDescent="0.25"/>
    <row r="38" spans="1:5" ht="15" customHeight="1" x14ac:dyDescent="0.25">
      <c r="A38" s="58" t="s">
        <v>135</v>
      </c>
      <c r="B38" s="59">
        <f>B14*B16</f>
        <v>0</v>
      </c>
      <c r="C38" s="60" t="s">
        <v>47</v>
      </c>
      <c r="D38" s="59">
        <f>D14*D16</f>
        <v>0</v>
      </c>
      <c r="E38" s="60" t="s">
        <v>47</v>
      </c>
    </row>
    <row r="39" spans="1:5" ht="23.25" customHeight="1" x14ac:dyDescent="0.25">
      <c r="A39" s="61" t="s">
        <v>136</v>
      </c>
      <c r="B39" s="18">
        <f>B14*B17</f>
        <v>0</v>
      </c>
      <c r="C39" s="62" t="s">
        <v>47</v>
      </c>
      <c r="D39" s="18">
        <f>D14*D17</f>
        <v>0</v>
      </c>
      <c r="E39" s="62" t="s">
        <v>47</v>
      </c>
    </row>
    <row r="40" spans="1:5" ht="15" customHeight="1" x14ac:dyDescent="0.25">
      <c r="A40" s="63" t="s">
        <v>137</v>
      </c>
      <c r="B40" s="15">
        <f>B14*B18</f>
        <v>0</v>
      </c>
      <c r="C40" s="64" t="s">
        <v>47</v>
      </c>
      <c r="D40" s="15">
        <f>D14*D18</f>
        <v>0</v>
      </c>
      <c r="E40" s="64" t="s">
        <v>47</v>
      </c>
    </row>
    <row r="41" spans="1:5" ht="23.25" customHeight="1" x14ac:dyDescent="0.25">
      <c r="A41" s="65" t="s">
        <v>138</v>
      </c>
      <c r="B41" s="66">
        <f>B40+90000</f>
        <v>90000</v>
      </c>
      <c r="C41" s="67" t="s">
        <v>47</v>
      </c>
      <c r="D41" s="66">
        <f>D40+120000</f>
        <v>120000</v>
      </c>
      <c r="E41" s="68" t="s">
        <v>139</v>
      </c>
    </row>
    <row r="42" spans="1:5" x14ac:dyDescent="0.25"/>
    <row r="43" spans="1:5" ht="15" customHeight="1" x14ac:dyDescent="0.25">
      <c r="A43" s="2" t="s">
        <v>140</v>
      </c>
    </row>
    <row r="44" spans="1:5" ht="23.25" customHeight="1" x14ac:dyDescent="0.25">
      <c r="A44" s="4" t="s">
        <v>2</v>
      </c>
      <c r="B44" s="4" t="s">
        <v>141</v>
      </c>
      <c r="C44" s="4" t="s">
        <v>142</v>
      </c>
      <c r="D44" s="4" t="s">
        <v>5</v>
      </c>
      <c r="E44" s="4" t="s">
        <v>143</v>
      </c>
    </row>
    <row r="45" spans="1:5" ht="23.25" customHeight="1" x14ac:dyDescent="0.25">
      <c r="A45" s="44" t="s">
        <v>144</v>
      </c>
      <c r="B45" s="39">
        <f>Wertermittlung!C24</f>
        <v>166740</v>
      </c>
      <c r="C45" s="39">
        <f>Wertermittlung!E24</f>
        <v>707454</v>
      </c>
      <c r="D45" s="40">
        <f>B26+C26</f>
        <v>5700</v>
      </c>
      <c r="E45" s="53" t="s">
        <v>145</v>
      </c>
    </row>
    <row r="46" spans="1:5" ht="23.25" customHeight="1" x14ac:dyDescent="0.25">
      <c r="A46" s="54" t="s">
        <v>146</v>
      </c>
      <c r="B46" s="14">
        <f>B20</f>
        <v>0</v>
      </c>
      <c r="C46" s="14">
        <f>D20</f>
        <v>0</v>
      </c>
      <c r="D46" s="14">
        <f>B27+C27</f>
        <v>6600</v>
      </c>
      <c r="E46" s="57" t="s">
        <v>147</v>
      </c>
    </row>
    <row r="47" spans="1:5" ht="15" customHeight="1" x14ac:dyDescent="0.25">
      <c r="A47" s="61" t="s">
        <v>148</v>
      </c>
      <c r="B47" s="18">
        <f>B21</f>
        <v>0</v>
      </c>
      <c r="C47" s="18">
        <f>D21</f>
        <v>0</v>
      </c>
      <c r="D47" s="18">
        <f>B28+C28</f>
        <v>8200</v>
      </c>
      <c r="E47" s="69" t="s">
        <v>149</v>
      </c>
    </row>
    <row r="48" spans="1:5" ht="23.25" customHeight="1" x14ac:dyDescent="0.25">
      <c r="A48" s="44" t="s">
        <v>150</v>
      </c>
      <c r="B48" s="40">
        <f>B22</f>
        <v>0</v>
      </c>
      <c r="C48" s="40">
        <f>D22</f>
        <v>0</v>
      </c>
      <c r="D48" s="40">
        <f>B29+C29</f>
        <v>0</v>
      </c>
      <c r="E48" s="53" t="s">
        <v>151</v>
      </c>
    </row>
    <row r="49" spans="1:5" ht="23.25" customHeight="1" x14ac:dyDescent="0.25">
      <c r="A49" s="54" t="s">
        <v>152</v>
      </c>
      <c r="B49" s="70">
        <f>B28-B26</f>
        <v>1200</v>
      </c>
      <c r="C49" s="70">
        <f>C28-C26</f>
        <v>1300</v>
      </c>
      <c r="D49" s="70">
        <f>B30+C30</f>
        <v>0</v>
      </c>
      <c r="E49" s="71" t="s">
        <v>153</v>
      </c>
    </row>
    <row r="50" spans="1:5" ht="74.25" customHeight="1" x14ac:dyDescent="0.25"/>
    <row r="51" spans="1:5" ht="36.75" customHeight="1" x14ac:dyDescent="0.25">
      <c r="A51" s="72" t="s">
        <v>154</v>
      </c>
    </row>
    <row r="52" spans="1:5" ht="36.75" customHeight="1" x14ac:dyDescent="0.25">
      <c r="A52" s="73" t="s">
        <v>155</v>
      </c>
    </row>
    <row r="53" spans="1:5" ht="25.5" customHeight="1" x14ac:dyDescent="0.25">
      <c r="A53" s="135"/>
      <c r="B53" s="135"/>
      <c r="C53" s="135"/>
      <c r="D53" s="135"/>
      <c r="E53" s="135"/>
    </row>
    <row r="54" spans="1:5" ht="21.75" customHeight="1" x14ac:dyDescent="0.25">
      <c r="A54" s="149" t="s">
        <v>156</v>
      </c>
      <c r="B54" s="149"/>
      <c r="C54" s="149"/>
      <c r="D54" s="149"/>
      <c r="E54" s="149"/>
    </row>
    <row r="55" spans="1:5" ht="42.75" customHeight="1" x14ac:dyDescent="0.25">
      <c r="A55" s="74" t="s">
        <v>157</v>
      </c>
    </row>
    <row r="56" spans="1:5" ht="19.5" customHeight="1" x14ac:dyDescent="0.25">
      <c r="A56" s="135"/>
      <c r="B56" s="135"/>
      <c r="C56" s="135"/>
      <c r="D56" s="135"/>
      <c r="E56" s="135"/>
    </row>
    <row r="57" spans="1:5" ht="27.75" customHeight="1" x14ac:dyDescent="0.25">
      <c r="A57" s="2" t="s">
        <v>158</v>
      </c>
    </row>
    <row r="58" spans="1:5" ht="15" customHeight="1" x14ac:dyDescent="0.25">
      <c r="A58" s="4" t="s">
        <v>159</v>
      </c>
      <c r="B58" s="4" t="s">
        <v>160</v>
      </c>
      <c r="C58" s="4" t="s">
        <v>161</v>
      </c>
      <c r="D58" s="4" t="s">
        <v>162</v>
      </c>
      <c r="E58" s="4" t="s">
        <v>163</v>
      </c>
    </row>
    <row r="59" spans="1:5" ht="15" customHeight="1" x14ac:dyDescent="0.25">
      <c r="A59" s="44" t="s">
        <v>164</v>
      </c>
      <c r="B59" s="75">
        <v>110</v>
      </c>
      <c r="C59" s="76">
        <v>11.5</v>
      </c>
      <c r="D59" s="40">
        <f>B59*C59</f>
        <v>1265</v>
      </c>
      <c r="E59" s="40">
        <f>D59*12</f>
        <v>15180</v>
      </c>
    </row>
    <row r="60" spans="1:5" ht="15" customHeight="1" x14ac:dyDescent="0.25">
      <c r="A60" s="54" t="s">
        <v>165</v>
      </c>
      <c r="B60" s="9">
        <v>80</v>
      </c>
      <c r="C60" s="77">
        <v>11</v>
      </c>
      <c r="D60" s="14">
        <f>B60*C60</f>
        <v>880</v>
      </c>
      <c r="E60" s="14">
        <f>D60*12</f>
        <v>10560</v>
      </c>
    </row>
    <row r="61" spans="1:5" ht="31.5" customHeight="1" x14ac:dyDescent="0.25">
      <c r="A61" s="78" t="s">
        <v>166</v>
      </c>
      <c r="B61" s="79">
        <v>110</v>
      </c>
      <c r="C61" s="80">
        <v>10.5</v>
      </c>
      <c r="D61" s="81">
        <f>B61*C61</f>
        <v>1155</v>
      </c>
      <c r="E61" s="81">
        <f>D61*12</f>
        <v>13860</v>
      </c>
    </row>
    <row r="62" spans="1:5" ht="42.75" customHeight="1" x14ac:dyDescent="0.25">
      <c r="A62" s="72" t="s">
        <v>167</v>
      </c>
    </row>
    <row r="63" spans="1:5" ht="19.5" customHeight="1" x14ac:dyDescent="0.25">
      <c r="A63" s="33" t="s">
        <v>168</v>
      </c>
      <c r="B63" s="150">
        <f>E59+E60+E61</f>
        <v>39600</v>
      </c>
      <c r="C63" s="150"/>
      <c r="D63" s="150"/>
      <c r="E63" s="82">
        <f>B63</f>
        <v>39600</v>
      </c>
    </row>
    <row r="64" spans="1:5" ht="21.75" customHeight="1" x14ac:dyDescent="0.25">
      <c r="D64" s="135"/>
      <c r="E64" s="135"/>
    </row>
    <row r="65" spans="1:5" ht="15" customHeight="1" x14ac:dyDescent="0.25">
      <c r="A65" s="2" t="s">
        <v>169</v>
      </c>
      <c r="D65" s="135"/>
      <c r="E65" s="135"/>
    </row>
    <row r="66" spans="1:5" ht="15" customHeight="1" x14ac:dyDescent="0.25">
      <c r="A66" s="4" t="s">
        <v>37</v>
      </c>
      <c r="B66" s="4" t="s">
        <v>24</v>
      </c>
      <c r="C66" s="4" t="s">
        <v>38</v>
      </c>
      <c r="D66" s="151" t="s">
        <v>170</v>
      </c>
      <c r="E66" s="151"/>
    </row>
    <row r="67" spans="1:5" ht="15" customHeight="1" x14ac:dyDescent="0.25">
      <c r="A67" s="48" t="s">
        <v>171</v>
      </c>
      <c r="B67" s="22">
        <f>B63</f>
        <v>39600</v>
      </c>
      <c r="C67" s="83" t="s">
        <v>172</v>
      </c>
      <c r="D67" s="152" t="s">
        <v>173</v>
      </c>
      <c r="E67" s="152"/>
    </row>
    <row r="68" spans="1:5" ht="15" customHeight="1" x14ac:dyDescent="0.25">
      <c r="A68" s="44" t="s">
        <v>174</v>
      </c>
      <c r="B68" s="85">
        <v>0.25</v>
      </c>
      <c r="C68" s="55" t="s">
        <v>57</v>
      </c>
      <c r="D68" s="153" t="s">
        <v>175</v>
      </c>
      <c r="E68" s="153"/>
    </row>
    <row r="69" spans="1:5" ht="15" customHeight="1" x14ac:dyDescent="0.25">
      <c r="A69" s="47" t="s">
        <v>176</v>
      </c>
      <c r="B69" s="86">
        <f>B67*(1-B68)</f>
        <v>29700</v>
      </c>
      <c r="C69" s="83" t="s">
        <v>172</v>
      </c>
      <c r="D69" s="152" t="s">
        <v>177</v>
      </c>
      <c r="E69" s="152"/>
    </row>
    <row r="70" spans="1:5" ht="15" customHeight="1" x14ac:dyDescent="0.25">
      <c r="A70" s="44" t="s">
        <v>178</v>
      </c>
      <c r="B70" s="39">
        <f>Wertermittlung!E6</f>
        <v>204240</v>
      </c>
      <c r="C70" s="55" t="s">
        <v>47</v>
      </c>
      <c r="D70" s="153" t="s">
        <v>179</v>
      </c>
      <c r="E70" s="153"/>
    </row>
    <row r="71" spans="1:5" ht="15" customHeight="1" x14ac:dyDescent="0.25">
      <c r="A71" s="48" t="s">
        <v>180</v>
      </c>
      <c r="B71" s="87">
        <v>0.03</v>
      </c>
      <c r="C71" s="83" t="s">
        <v>57</v>
      </c>
      <c r="D71" s="152" t="s">
        <v>181</v>
      </c>
      <c r="E71" s="152"/>
    </row>
    <row r="72" spans="1:5" ht="15" customHeight="1" x14ac:dyDescent="0.25">
      <c r="A72" s="44" t="s">
        <v>182</v>
      </c>
      <c r="B72" s="40">
        <f>B70*B71</f>
        <v>6127.2</v>
      </c>
      <c r="C72" s="55" t="s">
        <v>172</v>
      </c>
      <c r="D72" s="153" t="s">
        <v>183</v>
      </c>
      <c r="E72" s="153"/>
    </row>
    <row r="73" spans="1:5" ht="15" customHeight="1" x14ac:dyDescent="0.25">
      <c r="A73" s="48" t="s">
        <v>184</v>
      </c>
      <c r="B73" s="26">
        <f>B69-B72</f>
        <v>23572.799999999999</v>
      </c>
      <c r="C73" s="83" t="s">
        <v>172</v>
      </c>
      <c r="D73" s="152" t="s">
        <v>185</v>
      </c>
      <c r="E73" s="152"/>
    </row>
    <row r="74" spans="1:5" ht="15" customHeight="1" x14ac:dyDescent="0.25">
      <c r="A74" s="44" t="s">
        <v>186</v>
      </c>
      <c r="B74" s="29">
        <v>45</v>
      </c>
      <c r="C74" s="55" t="s">
        <v>54</v>
      </c>
      <c r="D74" s="153" t="s">
        <v>187</v>
      </c>
      <c r="E74" s="153"/>
    </row>
    <row r="75" spans="1:5" ht="15" customHeight="1" x14ac:dyDescent="0.25">
      <c r="A75" s="48" t="s">
        <v>188</v>
      </c>
      <c r="B75" s="88">
        <f>(1-(1+B71)^(-B74))/B71</f>
        <v>24.518712541181891</v>
      </c>
      <c r="C75" s="83" t="s">
        <v>7</v>
      </c>
      <c r="D75" s="152" t="s">
        <v>189</v>
      </c>
      <c r="E75" s="152"/>
    </row>
    <row r="76" spans="1:5" ht="15" customHeight="1" x14ac:dyDescent="0.25">
      <c r="A76" s="63" t="s">
        <v>190</v>
      </c>
      <c r="B76" s="15">
        <f>B73*B75</f>
        <v>577974.70699077251</v>
      </c>
      <c r="C76" s="89" t="s">
        <v>47</v>
      </c>
      <c r="D76" s="154" t="s">
        <v>191</v>
      </c>
      <c r="E76" s="154"/>
    </row>
    <row r="77" spans="1:5" ht="15" customHeight="1" x14ac:dyDescent="0.25">
      <c r="A77" s="47" t="s">
        <v>46</v>
      </c>
      <c r="B77" s="22">
        <f>Wertermittlung!E6</f>
        <v>204240</v>
      </c>
      <c r="C77" s="83" t="s">
        <v>47</v>
      </c>
      <c r="D77" s="84" t="s">
        <v>192</v>
      </c>
      <c r="E77" s="27"/>
    </row>
    <row r="78" spans="1:5" ht="19.5" customHeight="1" x14ac:dyDescent="0.25">
      <c r="A78" s="17" t="s">
        <v>193</v>
      </c>
      <c r="B78" s="155">
        <f>B76+B77</f>
        <v>782214.70699077251</v>
      </c>
      <c r="C78" s="155"/>
      <c r="D78" s="155"/>
      <c r="E78" s="91">
        <f>B76+B77</f>
        <v>782214.70699077251</v>
      </c>
    </row>
    <row r="79" spans="1:5" ht="15" customHeight="1" x14ac:dyDescent="0.25">
      <c r="D79" s="135"/>
      <c r="E79" s="135"/>
    </row>
    <row r="80" spans="1:5" ht="15" customHeight="1" x14ac:dyDescent="0.25">
      <c r="A80" s="2" t="s">
        <v>194</v>
      </c>
      <c r="D80" s="135"/>
      <c r="E80" s="135"/>
    </row>
    <row r="81" spans="1:5" ht="15" customHeight="1" x14ac:dyDescent="0.25">
      <c r="A81" s="4" t="s">
        <v>195</v>
      </c>
      <c r="B81" s="4" t="s">
        <v>196</v>
      </c>
      <c r="C81" s="4" t="s">
        <v>197</v>
      </c>
      <c r="D81" s="151" t="s">
        <v>198</v>
      </c>
      <c r="E81" s="151"/>
    </row>
    <row r="82" spans="1:5" ht="15" customHeight="1" x14ac:dyDescent="0.25">
      <c r="A82" s="44" t="s">
        <v>199</v>
      </c>
      <c r="B82" s="39">
        <f>Wertermittlung!E24</f>
        <v>707454</v>
      </c>
      <c r="C82" s="55" t="s">
        <v>200</v>
      </c>
      <c r="D82" s="153" t="s">
        <v>201</v>
      </c>
      <c r="E82" s="153"/>
    </row>
    <row r="83" spans="1:5" ht="15" customHeight="1" x14ac:dyDescent="0.25">
      <c r="A83" s="48" t="s">
        <v>202</v>
      </c>
      <c r="B83" s="22">
        <f>B78</f>
        <v>782214.70699077251</v>
      </c>
      <c r="C83" s="83" t="s">
        <v>203</v>
      </c>
      <c r="D83" s="152" t="s">
        <v>204</v>
      </c>
      <c r="E83" s="152"/>
    </row>
    <row r="84" spans="1:5" ht="15" customHeight="1" x14ac:dyDescent="0.25">
      <c r="A84" s="92" t="s">
        <v>205</v>
      </c>
      <c r="B84" s="93">
        <f>B40</f>
        <v>0</v>
      </c>
      <c r="C84" s="94" t="s">
        <v>206</v>
      </c>
      <c r="D84" s="95" t="s">
        <v>207</v>
      </c>
      <c r="E84" s="27"/>
    </row>
    <row r="85" spans="1:5" ht="15" customHeight="1" x14ac:dyDescent="0.25">
      <c r="A85" s="63" t="s">
        <v>208</v>
      </c>
      <c r="B85" s="15">
        <f>(B82+B83+B84)/3</f>
        <v>496556.23566359078</v>
      </c>
      <c r="C85" s="64" t="s">
        <v>209</v>
      </c>
      <c r="D85" s="90" t="s">
        <v>210</v>
      </c>
      <c r="E85" s="27"/>
    </row>
    <row r="86" spans="1:5" ht="39.75" customHeight="1" x14ac:dyDescent="0.25">
      <c r="A86" s="135"/>
      <c r="B86" s="135"/>
      <c r="C86" s="135"/>
      <c r="D86" s="135"/>
      <c r="E86" s="135"/>
    </row>
    <row r="87" spans="1:5" x14ac:dyDescent="0.25"/>
    <row r="88" spans="1:5" ht="53.25" customHeight="1" x14ac:dyDescent="0.25">
      <c r="A88" s="72" t="s">
        <v>211</v>
      </c>
    </row>
  </sheetData>
  <mergeCells count="32">
    <mergeCell ref="D83:E83"/>
    <mergeCell ref="A86:E86"/>
    <mergeCell ref="B78:D78"/>
    <mergeCell ref="D79:E79"/>
    <mergeCell ref="D80:E80"/>
    <mergeCell ref="D81:E81"/>
    <mergeCell ref="D82:E82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A56:E56"/>
    <mergeCell ref="B63:D63"/>
    <mergeCell ref="D64:E64"/>
    <mergeCell ref="D65:E65"/>
    <mergeCell ref="D66:E66"/>
    <mergeCell ref="A24:E24"/>
    <mergeCell ref="A32:E32"/>
    <mergeCell ref="A33:E33"/>
    <mergeCell ref="A53:E53"/>
    <mergeCell ref="A54:E54"/>
    <mergeCell ref="A1:E1"/>
    <mergeCell ref="A2:E2"/>
    <mergeCell ref="A4:E4"/>
    <mergeCell ref="A12:E12"/>
    <mergeCell ref="A14:E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zoomScaleNormal="100" workbookViewId="0">
      <selection sqref="A1:E1"/>
    </sheetView>
  </sheetViews>
  <sheetFormatPr baseColWidth="10" defaultColWidth="8.7109375" defaultRowHeight="15" customHeight="1" x14ac:dyDescent="0.25"/>
  <cols>
    <col min="1" max="1" width="38" customWidth="1"/>
    <col min="2" max="5" width="20" customWidth="1"/>
  </cols>
  <sheetData>
    <row r="1" spans="1:5" ht="30" customHeight="1" x14ac:dyDescent="0.25">
      <c r="A1" s="141" t="s">
        <v>212</v>
      </c>
      <c r="B1" s="141"/>
      <c r="C1" s="141"/>
      <c r="D1" s="141"/>
      <c r="E1" s="141"/>
    </row>
    <row r="3" spans="1:5" ht="19.5" customHeight="1" x14ac:dyDescent="0.25">
      <c r="A3" s="142" t="s">
        <v>213</v>
      </c>
      <c r="B3" s="142"/>
      <c r="C3" s="142"/>
      <c r="D3" s="142"/>
      <c r="E3" s="142"/>
    </row>
    <row r="4" spans="1:5" ht="15" customHeight="1" x14ac:dyDescent="0.25">
      <c r="A4" s="4" t="s">
        <v>37</v>
      </c>
      <c r="B4" s="4" t="s">
        <v>24</v>
      </c>
      <c r="C4" s="151" t="s">
        <v>170</v>
      </c>
      <c r="D4" s="151"/>
      <c r="E4" s="151"/>
    </row>
    <row r="5" spans="1:5" ht="15" customHeight="1" x14ac:dyDescent="0.25">
      <c r="A5" s="7" t="s">
        <v>214</v>
      </c>
      <c r="B5" s="96">
        <f>Wertermittlung!C30+Wertermittlung!E30</f>
        <v>786774.6</v>
      </c>
      <c r="C5" s="137" t="s">
        <v>215</v>
      </c>
      <c r="D5" s="137"/>
      <c r="E5" s="137"/>
    </row>
    <row r="6" spans="1:5" ht="15" customHeight="1" x14ac:dyDescent="0.25">
      <c r="A6" s="5" t="s">
        <v>216</v>
      </c>
      <c r="B6" s="29">
        <v>3</v>
      </c>
      <c r="C6" s="138" t="s">
        <v>217</v>
      </c>
      <c r="D6" s="138"/>
      <c r="E6" s="138"/>
    </row>
    <row r="7" spans="1:5" ht="15" customHeight="1" x14ac:dyDescent="0.25">
      <c r="A7" s="7" t="s">
        <v>218</v>
      </c>
      <c r="B7" s="24">
        <v>400000</v>
      </c>
      <c r="C7" s="137" t="s">
        <v>219</v>
      </c>
      <c r="D7" s="137"/>
      <c r="E7" s="137"/>
    </row>
    <row r="8" spans="1:5" ht="15" customHeight="1" x14ac:dyDescent="0.25">
      <c r="A8" s="5" t="s">
        <v>220</v>
      </c>
      <c r="B8" s="29">
        <v>74</v>
      </c>
      <c r="C8" s="138" t="s">
        <v>221</v>
      </c>
      <c r="D8" s="138"/>
      <c r="E8" s="138"/>
    </row>
    <row r="9" spans="1:5" ht="15" customHeight="1" x14ac:dyDescent="0.25">
      <c r="A9" s="7" t="s">
        <v>222</v>
      </c>
      <c r="B9" s="24">
        <v>2025</v>
      </c>
      <c r="C9" s="137" t="s">
        <v>223</v>
      </c>
      <c r="D9" s="137"/>
      <c r="E9" s="137"/>
    </row>
    <row r="11" spans="1:5" ht="19.5" customHeight="1" x14ac:dyDescent="0.25">
      <c r="A11" s="142" t="s">
        <v>224</v>
      </c>
      <c r="B11" s="142"/>
      <c r="C11" s="142"/>
      <c r="D11" s="142"/>
      <c r="E11" s="142"/>
    </row>
    <row r="12" spans="1:5" ht="15" customHeight="1" x14ac:dyDescent="0.25">
      <c r="A12" s="4" t="s">
        <v>2</v>
      </c>
      <c r="B12" s="4" t="s">
        <v>225</v>
      </c>
      <c r="C12" s="4" t="s">
        <v>226</v>
      </c>
      <c r="D12" s="4" t="s">
        <v>227</v>
      </c>
      <c r="E12" s="4" t="s">
        <v>5</v>
      </c>
    </row>
    <row r="13" spans="1:5" ht="15" customHeight="1" x14ac:dyDescent="0.25">
      <c r="A13" s="5" t="s">
        <v>228</v>
      </c>
      <c r="B13" s="40">
        <f>B5/B6</f>
        <v>262258.2</v>
      </c>
      <c r="C13" s="97">
        <f>B13</f>
        <v>262258.2</v>
      </c>
      <c r="D13" s="97">
        <f>B13</f>
        <v>262258.2</v>
      </c>
      <c r="E13" s="15">
        <f>B13+C13+D13</f>
        <v>786774.60000000009</v>
      </c>
    </row>
    <row r="14" spans="1:5" ht="15" customHeight="1" x14ac:dyDescent="0.25">
      <c r="A14" s="30" t="s">
        <v>229</v>
      </c>
      <c r="B14" s="16">
        <f>B7</f>
        <v>400000</v>
      </c>
      <c r="C14" s="16">
        <f>B7</f>
        <v>400000</v>
      </c>
      <c r="D14" s="16">
        <f>B7</f>
        <v>400000</v>
      </c>
      <c r="E14" s="15">
        <f>B14+C14+D14</f>
        <v>1200000</v>
      </c>
    </row>
    <row r="15" spans="1:5" ht="15" customHeight="1" x14ac:dyDescent="0.25">
      <c r="A15" s="5" t="s">
        <v>230</v>
      </c>
      <c r="B15" s="40">
        <f>MAX(B13-B14,0)</f>
        <v>0</v>
      </c>
      <c r="C15" s="40">
        <f>MAX(C13-C14,0)</f>
        <v>0</v>
      </c>
      <c r="D15" s="40">
        <f>MAX(D13-D14,0)</f>
        <v>0</v>
      </c>
      <c r="E15" s="15">
        <f>B15+C15+D15</f>
        <v>0</v>
      </c>
    </row>
    <row r="16" spans="1:5" ht="15" customHeight="1" x14ac:dyDescent="0.25">
      <c r="A16" s="30" t="s">
        <v>231</v>
      </c>
      <c r="B16" s="98">
        <f>IF(B15=0,0,IF(B15&lt;=75000,0.07,IF(B15&lt;=300000,0.11,IF(B15&lt;=600000,0.15,0.19))))</f>
        <v>0</v>
      </c>
      <c r="C16" s="98">
        <f>IF(C15=0,0,IF(C15&lt;=75000,0.07,IF(C15&lt;=300000,0.11,IF(C15&lt;=600000,0.15,0.19))))</f>
        <v>0</v>
      </c>
      <c r="D16" s="98">
        <f>IF(D15=0,0,IF(D15&lt;=75000,0.07,IF(D15&lt;=300000,0.11,IF(D15&lt;=600000,0.15,0.19))))</f>
        <v>0</v>
      </c>
      <c r="E16" s="31" t="s">
        <v>7</v>
      </c>
    </row>
    <row r="17" spans="1:5" ht="15" customHeight="1" x14ac:dyDescent="0.25">
      <c r="A17" s="17" t="s">
        <v>232</v>
      </c>
      <c r="B17" s="25">
        <f>B15*B16</f>
        <v>0</v>
      </c>
      <c r="C17" s="25">
        <f>C15*C16</f>
        <v>0</v>
      </c>
      <c r="D17" s="25">
        <f>D15*D16</f>
        <v>0</v>
      </c>
      <c r="E17" s="18">
        <f>B17+C17+D17</f>
        <v>0</v>
      </c>
    </row>
    <row r="20" spans="1:5" ht="19.5" customHeight="1" x14ac:dyDescent="0.25">
      <c r="A20" s="142" t="s">
        <v>233</v>
      </c>
      <c r="B20" s="142"/>
      <c r="C20" s="142"/>
      <c r="D20" s="142"/>
      <c r="E20" s="142"/>
    </row>
    <row r="21" spans="1:5" ht="15" customHeight="1" x14ac:dyDescent="0.25">
      <c r="A21" s="4" t="s">
        <v>2</v>
      </c>
      <c r="B21" s="151" t="s">
        <v>234</v>
      </c>
      <c r="C21" s="151"/>
      <c r="D21" s="151" t="s">
        <v>235</v>
      </c>
      <c r="E21" s="151"/>
    </row>
    <row r="22" spans="1:5" ht="15" customHeight="1" x14ac:dyDescent="0.25">
      <c r="A22" s="5" t="s">
        <v>236</v>
      </c>
      <c r="B22" s="156">
        <f>B5</f>
        <v>786774.6</v>
      </c>
      <c r="C22" s="156"/>
      <c r="D22" s="156">
        <f>B5</f>
        <v>786774.6</v>
      </c>
      <c r="E22" s="156"/>
    </row>
    <row r="23" spans="1:5" ht="15" customHeight="1" x14ac:dyDescent="0.25">
      <c r="A23" s="7" t="s">
        <v>237</v>
      </c>
      <c r="B23" s="157">
        <f>B7*B6</f>
        <v>1200000</v>
      </c>
      <c r="C23" s="157"/>
      <c r="D23" s="157">
        <f>B7*B6</f>
        <v>1200000</v>
      </c>
      <c r="E23" s="157"/>
    </row>
    <row r="24" spans="1:5" ht="15" customHeight="1" x14ac:dyDescent="0.25">
      <c r="A24" s="5" t="s">
        <v>238</v>
      </c>
      <c r="B24" s="160">
        <f>MAX(B5-B7*B6,0)</f>
        <v>0</v>
      </c>
      <c r="C24" s="160"/>
      <c r="D24" s="160">
        <f>MAX(B5-B7*B6,0)</f>
        <v>0</v>
      </c>
      <c r="E24" s="160"/>
    </row>
    <row r="25" spans="1:5" ht="15" customHeight="1" x14ac:dyDescent="0.25">
      <c r="A25" s="19" t="s">
        <v>239</v>
      </c>
      <c r="B25" s="161">
        <f>B17+C17+D17</f>
        <v>0</v>
      </c>
      <c r="C25" s="161"/>
      <c r="D25" s="161">
        <f>MAX(B5-B7*B6,0)*IF(MAX(B5-B7*B6,0)&lt;=75000,0.07,IF(MAX(B5-B7*B6,0)&lt;=300000,0.11,0.15))</f>
        <v>0</v>
      </c>
      <c r="E25" s="161"/>
    </row>
    <row r="26" spans="1:5" ht="15" customHeight="1" x14ac:dyDescent="0.25">
      <c r="A26" s="17" t="s">
        <v>240</v>
      </c>
      <c r="B26" s="162">
        <f>D25-B25</f>
        <v>0</v>
      </c>
      <c r="C26" s="162"/>
      <c r="D26" s="139" t="s">
        <v>241</v>
      </c>
      <c r="E26" s="139"/>
    </row>
    <row r="30" spans="1:5" ht="34.5" customHeight="1" x14ac:dyDescent="0.25">
      <c r="A30" s="158" t="s">
        <v>242</v>
      </c>
      <c r="B30" s="158"/>
      <c r="C30" s="158"/>
      <c r="D30" s="158"/>
      <c r="E30" s="158"/>
    </row>
    <row r="31" spans="1:5" ht="34.5" customHeight="1" x14ac:dyDescent="0.25">
      <c r="A31" s="159" t="s">
        <v>243</v>
      </c>
      <c r="B31" s="159"/>
      <c r="C31" s="159"/>
      <c r="D31" s="159"/>
      <c r="E31" s="159"/>
    </row>
    <row r="40" spans="1:1" ht="15" customHeight="1" x14ac:dyDescent="0.25">
      <c r="A40" s="99">
        <f>B17+C17+D17</f>
        <v>0</v>
      </c>
    </row>
    <row r="41" spans="1:1" ht="15" customHeight="1" x14ac:dyDescent="0.25">
      <c r="A41" s="100">
        <f>B26</f>
        <v>0</v>
      </c>
    </row>
  </sheetData>
  <mergeCells count="24">
    <mergeCell ref="A30:E30"/>
    <mergeCell ref="A31:E31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C7:E7"/>
    <mergeCell ref="C8:E8"/>
    <mergeCell ref="C9:E9"/>
    <mergeCell ref="A11:E11"/>
    <mergeCell ref="A20:E20"/>
    <mergeCell ref="A1:E1"/>
    <mergeCell ref="A3:E3"/>
    <mergeCell ref="C4:E4"/>
    <mergeCell ref="C5:E5"/>
    <mergeCell ref="C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zoomScaleNormal="100" workbookViewId="0">
      <selection sqref="A1:D1"/>
    </sheetView>
  </sheetViews>
  <sheetFormatPr baseColWidth="10" defaultColWidth="8.7109375" defaultRowHeight="15" customHeight="1" x14ac:dyDescent="0.25"/>
  <cols>
    <col min="1" max="1" width="35" customWidth="1"/>
    <col min="2" max="4" width="20" customWidth="1"/>
  </cols>
  <sheetData>
    <row r="1" spans="1:4" ht="30" customHeight="1" x14ac:dyDescent="0.25">
      <c r="A1" s="141" t="s">
        <v>244</v>
      </c>
      <c r="B1" s="141"/>
      <c r="C1" s="141"/>
      <c r="D1" s="141"/>
    </row>
    <row r="2" spans="1:4" ht="24.75" customHeight="1" x14ac:dyDescent="0.25">
      <c r="A2" s="158" t="s">
        <v>245</v>
      </c>
      <c r="B2" s="158"/>
      <c r="C2" s="158"/>
      <c r="D2" s="158"/>
    </row>
    <row r="4" spans="1:4" ht="21.75" customHeight="1" x14ac:dyDescent="0.25">
      <c r="A4" s="142" t="s">
        <v>246</v>
      </c>
      <c r="B4" s="142"/>
      <c r="C4" s="142"/>
      <c r="D4" s="142"/>
    </row>
    <row r="5" spans="1:4" ht="15" customHeight="1" x14ac:dyDescent="0.25">
      <c r="A5" s="4" t="s">
        <v>2</v>
      </c>
      <c r="B5" s="4" t="s">
        <v>225</v>
      </c>
      <c r="C5" s="4" t="s">
        <v>226</v>
      </c>
      <c r="D5" s="4" t="s">
        <v>227</v>
      </c>
    </row>
    <row r="6" spans="1:4" ht="15" customHeight="1" x14ac:dyDescent="0.25">
      <c r="A6" s="5" t="s">
        <v>247</v>
      </c>
      <c r="B6" s="6" t="s">
        <v>248</v>
      </c>
      <c r="C6" s="6" t="s">
        <v>249</v>
      </c>
      <c r="D6" s="6" t="s">
        <v>250</v>
      </c>
    </row>
    <row r="7" spans="1:4" ht="15" customHeight="1" x14ac:dyDescent="0.25">
      <c r="A7" s="30" t="s">
        <v>251</v>
      </c>
      <c r="B7" s="16">
        <f>Wertermittlung!C30</f>
        <v>150066</v>
      </c>
      <c r="C7" s="16">
        <f>Wertermittlung!E30</f>
        <v>636708.6</v>
      </c>
      <c r="D7" s="14">
        <f>(Wertermittlung!C30+Wertermittlung!E30)/3</f>
        <v>262258.2</v>
      </c>
    </row>
    <row r="8" spans="1:4" ht="15" customHeight="1" x14ac:dyDescent="0.25">
      <c r="A8" s="5" t="s">
        <v>252</v>
      </c>
      <c r="B8" s="23">
        <v>400000</v>
      </c>
      <c r="C8" s="23">
        <v>400000</v>
      </c>
      <c r="D8" s="23">
        <v>400000</v>
      </c>
    </row>
    <row r="9" spans="1:4" ht="15" customHeight="1" x14ac:dyDescent="0.25">
      <c r="A9" s="30" t="s">
        <v>230</v>
      </c>
      <c r="B9" s="14">
        <f>MAX(B7-B8,0)</f>
        <v>0</v>
      </c>
      <c r="C9" s="14">
        <f>MAX(C7-C8,0)</f>
        <v>236708.59999999998</v>
      </c>
      <c r="D9" s="14">
        <f>MAX(D7-D8,0)</f>
        <v>0</v>
      </c>
    </row>
    <row r="10" spans="1:4" ht="15" customHeight="1" x14ac:dyDescent="0.25">
      <c r="A10" s="17" t="s">
        <v>253</v>
      </c>
      <c r="B10" s="25">
        <f>MAX(B9,0)*IF(B9&lt;=75000,0.07,IF(B9&lt;=300000,0.11,IF(B9&lt;=600000,0.15,0.19)))</f>
        <v>0</v>
      </c>
      <c r="C10" s="25">
        <f>MAX(C9,0)*IF(C9&lt;=75000,0.07,IF(C9&lt;=300000,0.11,IF(C9&lt;=600000,0.15,0.19)))</f>
        <v>26037.945999999996</v>
      </c>
      <c r="D10" s="25">
        <f>MAX(D9,0)*IF(D9&lt;=75000,0.07,IF(D9&lt;=300000,0.11,IF(D9&lt;=600000,0.15,0.19)))</f>
        <v>0</v>
      </c>
    </row>
    <row r="11" spans="1:4" ht="15" customHeight="1" x14ac:dyDescent="0.25">
      <c r="A11" s="33" t="s">
        <v>254</v>
      </c>
      <c r="B11" s="15">
        <f>B10+C10+D10</f>
        <v>26037.945999999996</v>
      </c>
      <c r="C11" s="163" t="s">
        <v>255</v>
      </c>
      <c r="D11" s="163"/>
    </row>
    <row r="13" spans="1:4" ht="21.75" customHeight="1" x14ac:dyDescent="0.25">
      <c r="A13" s="142" t="s">
        <v>256</v>
      </c>
      <c r="B13" s="142"/>
      <c r="C13" s="142"/>
      <c r="D13" s="142"/>
    </row>
    <row r="14" spans="1:4" ht="15" customHeight="1" x14ac:dyDescent="0.25">
      <c r="A14" s="4" t="s">
        <v>2</v>
      </c>
      <c r="B14" s="4" t="s">
        <v>225</v>
      </c>
      <c r="C14" s="4" t="s">
        <v>226</v>
      </c>
      <c r="D14" s="4" t="s">
        <v>227</v>
      </c>
    </row>
    <row r="15" spans="1:4" ht="15" customHeight="1" x14ac:dyDescent="0.25">
      <c r="A15" s="5" t="s">
        <v>247</v>
      </c>
      <c r="B15" s="6" t="s">
        <v>257</v>
      </c>
      <c r="C15" s="6" t="s">
        <v>257</v>
      </c>
      <c r="D15" s="6" t="s">
        <v>257</v>
      </c>
    </row>
    <row r="16" spans="1:4" ht="15" customHeight="1" x14ac:dyDescent="0.25">
      <c r="A16" s="30" t="s">
        <v>258</v>
      </c>
      <c r="B16" s="14">
        <f>(Wertermittlung!C30+Wertermittlung!E30)/3</f>
        <v>262258.2</v>
      </c>
      <c r="C16" s="14">
        <f>B16</f>
        <v>262258.2</v>
      </c>
      <c r="D16" s="14">
        <f>B16</f>
        <v>262258.2</v>
      </c>
    </row>
    <row r="17" spans="1:4" ht="15" customHeight="1" x14ac:dyDescent="0.25">
      <c r="A17" s="5" t="s">
        <v>252</v>
      </c>
      <c r="B17" s="39">
        <f>B8</f>
        <v>400000</v>
      </c>
      <c r="C17" s="39">
        <f>C8</f>
        <v>400000</v>
      </c>
      <c r="D17" s="39">
        <f>D8</f>
        <v>400000</v>
      </c>
    </row>
    <row r="18" spans="1:4" ht="15" customHeight="1" x14ac:dyDescent="0.25">
      <c r="A18" s="30" t="s">
        <v>230</v>
      </c>
      <c r="B18" s="14">
        <f>MAX(B16-B17,0)</f>
        <v>0</v>
      </c>
      <c r="C18" s="14">
        <f>MAX(C16-C17,0)</f>
        <v>0</v>
      </c>
      <c r="D18" s="14">
        <f>MAX(D16-D17,0)</f>
        <v>0</v>
      </c>
    </row>
    <row r="19" spans="1:4" ht="15" customHeight="1" x14ac:dyDescent="0.25">
      <c r="A19" s="17" t="s">
        <v>253</v>
      </c>
      <c r="B19" s="25">
        <f>MAX(B18,0)*IF(B18&lt;=75000,0.07,IF(B18&lt;=300000,0.11,IF(B18&lt;=600000,0.15,0.19)))</f>
        <v>0</v>
      </c>
      <c r="C19" s="25">
        <f>MAX(C18,0)*IF(C18&lt;=75000,0.07,IF(C18&lt;=300000,0.11,IF(C18&lt;=600000,0.15,0.19)))</f>
        <v>0</v>
      </c>
      <c r="D19" s="25">
        <f>MAX(D18,0)*IF(D18&lt;=75000,0.07,IF(D18&lt;=300000,0.11,IF(D18&lt;=600000,0.15,0.19)))</f>
        <v>0</v>
      </c>
    </row>
    <row r="20" spans="1:4" ht="15" customHeight="1" x14ac:dyDescent="0.25">
      <c r="A20" s="33" t="s">
        <v>259</v>
      </c>
      <c r="B20" s="15">
        <f>B19+C19+D19</f>
        <v>0</v>
      </c>
      <c r="C20" s="163" t="s">
        <v>260</v>
      </c>
      <c r="D20" s="163"/>
    </row>
    <row r="22" spans="1:4" ht="21.75" customHeight="1" x14ac:dyDescent="0.25">
      <c r="A22" s="142" t="s">
        <v>261</v>
      </c>
      <c r="B22" s="142"/>
      <c r="C22" s="142"/>
      <c r="D22" s="142"/>
    </row>
    <row r="23" spans="1:4" ht="15" customHeight="1" x14ac:dyDescent="0.25">
      <c r="A23" s="4" t="s">
        <v>2</v>
      </c>
      <c r="B23" s="151" t="s">
        <v>262</v>
      </c>
      <c r="C23" s="151"/>
      <c r="D23" s="151"/>
    </row>
    <row r="24" spans="1:4" ht="15" customHeight="1" x14ac:dyDescent="0.25">
      <c r="A24" s="5" t="s">
        <v>263</v>
      </c>
      <c r="B24" s="160">
        <f>Wertermittlung!C30+Wertermittlung!E30</f>
        <v>786774.6</v>
      </c>
      <c r="C24" s="160"/>
      <c r="D24" s="160"/>
    </row>
    <row r="25" spans="1:4" ht="15" customHeight="1" x14ac:dyDescent="0.25">
      <c r="A25" s="7" t="s">
        <v>264</v>
      </c>
      <c r="B25" s="161">
        <f>(Wertermittlung!C24+Wertermittlung!E24)*0.035</f>
        <v>30596.790000000005</v>
      </c>
      <c r="C25" s="161"/>
      <c r="D25" s="161"/>
    </row>
    <row r="26" spans="1:4" ht="15" customHeight="1" x14ac:dyDescent="0.25">
      <c r="A26" s="5" t="s">
        <v>265</v>
      </c>
      <c r="B26" s="164">
        <v>8.06</v>
      </c>
      <c r="C26" s="164"/>
      <c r="D26" s="164"/>
    </row>
    <row r="27" spans="1:4" ht="15" customHeight="1" x14ac:dyDescent="0.25">
      <c r="A27" s="7" t="s">
        <v>266</v>
      </c>
      <c r="B27" s="161">
        <f>C25*C26</f>
        <v>0</v>
      </c>
      <c r="C27" s="161"/>
      <c r="D27" s="161"/>
    </row>
    <row r="28" spans="1:4" ht="15" customHeight="1" x14ac:dyDescent="0.25">
      <c r="A28" s="13" t="s">
        <v>267</v>
      </c>
      <c r="B28" s="160">
        <f>MAX(C24-C27,0)</f>
        <v>0</v>
      </c>
      <c r="C28" s="160"/>
      <c r="D28" s="160"/>
    </row>
    <row r="29" spans="1:4" ht="15" customHeight="1" x14ac:dyDescent="0.25">
      <c r="A29" s="7" t="s">
        <v>268</v>
      </c>
      <c r="B29" s="161">
        <f>400000*3</f>
        <v>1200000</v>
      </c>
      <c r="C29" s="161"/>
      <c r="D29" s="161"/>
    </row>
    <row r="30" spans="1:4" ht="15" customHeight="1" x14ac:dyDescent="0.25">
      <c r="A30" s="5" t="s">
        <v>269</v>
      </c>
      <c r="B30" s="160">
        <f>MAX(C28-C29,0)</f>
        <v>0</v>
      </c>
      <c r="C30" s="160"/>
      <c r="D30" s="160"/>
    </row>
    <row r="31" spans="1:4" ht="15" customHeight="1" x14ac:dyDescent="0.25">
      <c r="A31" s="101" t="s">
        <v>270</v>
      </c>
      <c r="B31" s="165">
        <f>MAX(C30,0)*IF(C30&lt;=75000,0.07,IF(C30&lt;=300000,0.11,IF(C30&lt;=600000,0.15,0.19)))</f>
        <v>0</v>
      </c>
      <c r="C31" s="165"/>
      <c r="D31" s="165"/>
    </row>
    <row r="33" spans="1:4" ht="21.75" customHeight="1" x14ac:dyDescent="0.25">
      <c r="A33" s="149" t="s">
        <v>271</v>
      </c>
      <c r="B33" s="149"/>
      <c r="C33" s="149"/>
      <c r="D33" s="149"/>
    </row>
    <row r="34" spans="1:4" ht="15" customHeight="1" x14ac:dyDescent="0.25">
      <c r="A34" s="4" t="s">
        <v>272</v>
      </c>
      <c r="B34" s="4" t="s">
        <v>273</v>
      </c>
      <c r="C34" s="4" t="s">
        <v>274</v>
      </c>
      <c r="D34" s="4" t="s">
        <v>275</v>
      </c>
    </row>
    <row r="35" spans="1:4" ht="15" customHeight="1" x14ac:dyDescent="0.25">
      <c r="A35" s="7" t="s">
        <v>276</v>
      </c>
      <c r="B35" s="26">
        <f>B11</f>
        <v>26037.945999999996</v>
      </c>
      <c r="C35" s="7" t="s">
        <v>277</v>
      </c>
      <c r="D35" s="7" t="s">
        <v>278</v>
      </c>
    </row>
    <row r="36" spans="1:4" ht="15" customHeight="1" x14ac:dyDescent="0.25">
      <c r="A36" s="17" t="s">
        <v>279</v>
      </c>
      <c r="B36" s="25">
        <f>B20</f>
        <v>0</v>
      </c>
      <c r="C36" s="102" t="s">
        <v>280</v>
      </c>
      <c r="D36" s="102" t="s">
        <v>281</v>
      </c>
    </row>
    <row r="37" spans="1:4" ht="15" customHeight="1" x14ac:dyDescent="0.25">
      <c r="A37" s="7" t="s">
        <v>282</v>
      </c>
      <c r="B37" s="26">
        <f>C31</f>
        <v>0</v>
      </c>
      <c r="C37" s="7" t="s">
        <v>283</v>
      </c>
      <c r="D37" s="7" t="s">
        <v>284</v>
      </c>
    </row>
    <row r="38" spans="1:4" ht="49.5" customHeight="1" x14ac:dyDescent="0.25">
      <c r="A38" s="146" t="s">
        <v>285</v>
      </c>
      <c r="B38" s="146"/>
      <c r="C38" s="146"/>
      <c r="D38" s="146"/>
    </row>
    <row r="40" spans="1:4" ht="9.75" customHeight="1" x14ac:dyDescent="0.25"/>
    <row r="41" spans="1:4" ht="25.5" customHeight="1" x14ac:dyDescent="0.25">
      <c r="A41" s="149" t="s">
        <v>286</v>
      </c>
      <c r="B41" s="149"/>
      <c r="C41" s="149"/>
      <c r="D41" s="149"/>
    </row>
    <row r="42" spans="1:4" ht="21.75" customHeight="1" x14ac:dyDescent="0.25">
      <c r="A42" s="144" t="s">
        <v>287</v>
      </c>
      <c r="B42" s="144"/>
      <c r="C42" s="144"/>
      <c r="D42" s="144"/>
    </row>
    <row r="44" spans="1:4" ht="19.5" customHeight="1" x14ac:dyDescent="0.25">
      <c r="A44" s="142" t="s">
        <v>288</v>
      </c>
      <c r="B44" s="142"/>
      <c r="C44" s="142"/>
      <c r="D44" s="142"/>
    </row>
    <row r="45" spans="1:4" ht="31.5" customHeight="1" x14ac:dyDescent="0.25">
      <c r="A45" s="4" t="s">
        <v>289</v>
      </c>
      <c r="B45" s="4" t="s">
        <v>290</v>
      </c>
      <c r="C45" s="4" t="s">
        <v>291</v>
      </c>
      <c r="D45" s="4" t="s">
        <v>292</v>
      </c>
    </row>
    <row r="46" spans="1:4" ht="15" customHeight="1" x14ac:dyDescent="0.25">
      <c r="A46" s="44" t="s">
        <v>293</v>
      </c>
      <c r="B46" s="39">
        <f>Marktwert!B21</f>
        <v>0</v>
      </c>
      <c r="C46" s="37">
        <f>IFERROR(B46/(B46+B47),0)</f>
        <v>0</v>
      </c>
      <c r="D46" s="40">
        <f>(B46+B47)/3</f>
        <v>0</v>
      </c>
    </row>
    <row r="47" spans="1:4" ht="15" customHeight="1" x14ac:dyDescent="0.25">
      <c r="A47" s="54" t="s">
        <v>294</v>
      </c>
      <c r="B47" s="16">
        <f>Marktwert!D21</f>
        <v>0</v>
      </c>
      <c r="C47" s="38">
        <f>IFERROR(B47/(B46+B47),0)</f>
        <v>0</v>
      </c>
      <c r="D47" s="14">
        <f>(B46+B47)/3</f>
        <v>0</v>
      </c>
    </row>
    <row r="48" spans="1:4" ht="15" customHeight="1" x14ac:dyDescent="0.25">
      <c r="A48" s="63" t="s">
        <v>295</v>
      </c>
      <c r="B48" s="15">
        <f>B46+B47</f>
        <v>0</v>
      </c>
      <c r="C48" s="103">
        <f>100%</f>
        <v>1</v>
      </c>
      <c r="D48" s="15">
        <f>(B46+B47)/3</f>
        <v>0</v>
      </c>
    </row>
    <row r="50" spans="1:4" ht="21.75" customHeight="1" x14ac:dyDescent="0.25">
      <c r="A50" s="142" t="s">
        <v>296</v>
      </c>
      <c r="B50" s="142"/>
      <c r="C50" s="142"/>
      <c r="D50" s="142"/>
    </row>
    <row r="51" spans="1:4" ht="21.75" customHeight="1" x14ac:dyDescent="0.25">
      <c r="A51" s="4" t="s">
        <v>2</v>
      </c>
      <c r="B51" s="4" t="s">
        <v>225</v>
      </c>
      <c r="C51" s="4" t="s">
        <v>226</v>
      </c>
      <c r="D51" s="4" t="s">
        <v>227</v>
      </c>
    </row>
    <row r="52" spans="1:4" ht="15" customHeight="1" x14ac:dyDescent="0.25">
      <c r="A52" s="44" t="s">
        <v>247</v>
      </c>
      <c r="B52" s="55" t="s">
        <v>297</v>
      </c>
      <c r="C52" s="55" t="s">
        <v>298</v>
      </c>
      <c r="D52" s="55" t="s">
        <v>299</v>
      </c>
    </row>
    <row r="53" spans="1:4" ht="15" customHeight="1" x14ac:dyDescent="0.25">
      <c r="A53" s="54" t="s">
        <v>300</v>
      </c>
      <c r="B53" s="16">
        <f>B46</f>
        <v>0</v>
      </c>
      <c r="C53" s="16">
        <f>B47</f>
        <v>0</v>
      </c>
      <c r="D53" s="14">
        <f>B48/3</f>
        <v>0</v>
      </c>
    </row>
    <row r="54" spans="1:4" ht="15" customHeight="1" x14ac:dyDescent="0.25">
      <c r="A54" s="44" t="s">
        <v>301</v>
      </c>
      <c r="B54" s="40">
        <f>B48/3</f>
        <v>0</v>
      </c>
      <c r="C54" s="40">
        <f>B48/3</f>
        <v>0</v>
      </c>
      <c r="D54" s="40">
        <f>B48/3</f>
        <v>0</v>
      </c>
    </row>
    <row r="55" spans="1:4" ht="15" customHeight="1" x14ac:dyDescent="0.25">
      <c r="A55" s="54" t="s">
        <v>302</v>
      </c>
      <c r="B55" s="70">
        <f>B53-B54</f>
        <v>0</v>
      </c>
      <c r="C55" s="70">
        <f>C53-C54</f>
        <v>0</v>
      </c>
      <c r="D55" s="70">
        <f>D53-D54</f>
        <v>0</v>
      </c>
    </row>
    <row r="56" spans="1:4" ht="15" customHeight="1" x14ac:dyDescent="0.25">
      <c r="A56" s="58" t="s">
        <v>303</v>
      </c>
      <c r="B56" s="59">
        <f>MAX(B54-B53, 0)</f>
        <v>0</v>
      </c>
      <c r="C56" s="59">
        <f>MAX(C53-C54, 0)</f>
        <v>0</v>
      </c>
      <c r="D56" s="104" t="s">
        <v>304</v>
      </c>
    </row>
    <row r="58" spans="1:4" ht="21.75" customHeight="1" x14ac:dyDescent="0.25">
      <c r="A58" s="142" t="s">
        <v>305</v>
      </c>
      <c r="B58" s="142"/>
      <c r="C58" s="142"/>
      <c r="D58" s="142"/>
    </row>
    <row r="59" spans="1:4" ht="21.75" customHeight="1" x14ac:dyDescent="0.25">
      <c r="A59" s="4" t="s">
        <v>2</v>
      </c>
      <c r="B59" s="4" t="s">
        <v>306</v>
      </c>
      <c r="C59" s="4" t="s">
        <v>307</v>
      </c>
      <c r="D59" s="4" t="s">
        <v>308</v>
      </c>
    </row>
    <row r="60" spans="1:4" ht="15" customHeight="1" x14ac:dyDescent="0.25">
      <c r="A60" s="44" t="s">
        <v>309</v>
      </c>
      <c r="B60" s="39">
        <f>B48/3</f>
        <v>0</v>
      </c>
      <c r="C60" s="39">
        <f>B48/3</f>
        <v>0</v>
      </c>
      <c r="D60" s="39">
        <f>B48/3</f>
        <v>0</v>
      </c>
    </row>
    <row r="61" spans="1:4" ht="15" customHeight="1" x14ac:dyDescent="0.25">
      <c r="A61" s="61" t="s">
        <v>310</v>
      </c>
      <c r="B61" s="105" t="s">
        <v>311</v>
      </c>
      <c r="C61" s="105" t="s">
        <v>311</v>
      </c>
      <c r="D61" s="105" t="s">
        <v>311</v>
      </c>
    </row>
    <row r="63" spans="1:4" ht="54.75" customHeight="1" x14ac:dyDescent="0.25">
      <c r="A63" s="146" t="s">
        <v>312</v>
      </c>
      <c r="B63" s="146"/>
      <c r="C63" s="146"/>
      <c r="D63" s="146"/>
    </row>
  </sheetData>
  <mergeCells count="24">
    <mergeCell ref="A44:D44"/>
    <mergeCell ref="A50:D50"/>
    <mergeCell ref="A58:D58"/>
    <mergeCell ref="A63:D63"/>
    <mergeCell ref="B31:D31"/>
    <mergeCell ref="A33:D33"/>
    <mergeCell ref="A38:D38"/>
    <mergeCell ref="A41:D41"/>
    <mergeCell ref="A42:D42"/>
    <mergeCell ref="B26:D26"/>
    <mergeCell ref="B27:D27"/>
    <mergeCell ref="B28:D28"/>
    <mergeCell ref="B29:D29"/>
    <mergeCell ref="B30:D30"/>
    <mergeCell ref="C20:D20"/>
    <mergeCell ref="A22:D22"/>
    <mergeCell ref="B23:D23"/>
    <mergeCell ref="B24:D24"/>
    <mergeCell ref="B25:D25"/>
    <mergeCell ref="A1:D1"/>
    <mergeCell ref="A2:D2"/>
    <mergeCell ref="A4:D4"/>
    <mergeCell ref="C11:D11"/>
    <mergeCell ref="A13:D1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1"/>
  <sheetViews>
    <sheetView tabSelected="1" topLeftCell="A30" zoomScaleNormal="100" workbookViewId="0">
      <selection activeCell="C15" sqref="C15"/>
    </sheetView>
  </sheetViews>
  <sheetFormatPr baseColWidth="10" defaultColWidth="8.7109375" defaultRowHeight="15" customHeight="1" x14ac:dyDescent="0.25"/>
  <cols>
    <col min="1" max="1" width="34" customWidth="1"/>
    <col min="2" max="2" width="14" customWidth="1"/>
    <col min="3" max="3" width="16" customWidth="1"/>
    <col min="4" max="7" width="15" customWidth="1"/>
    <col min="8" max="8" width="22" customWidth="1"/>
  </cols>
  <sheetData>
    <row r="1" spans="1:8" ht="30" customHeight="1" x14ac:dyDescent="0.25">
      <c r="A1" s="141" t="s">
        <v>313</v>
      </c>
      <c r="B1" s="141"/>
      <c r="C1" s="141"/>
      <c r="D1" s="141"/>
      <c r="E1" s="141"/>
      <c r="F1" s="141"/>
      <c r="G1" s="141"/>
      <c r="H1" s="141"/>
    </row>
    <row r="2" spans="1:8" ht="19.5" customHeight="1" x14ac:dyDescent="0.25">
      <c r="A2" s="144" t="s">
        <v>314</v>
      </c>
      <c r="B2" s="144"/>
      <c r="C2" s="144"/>
      <c r="D2" s="144"/>
      <c r="E2" s="144"/>
      <c r="F2" s="144"/>
      <c r="G2" s="144"/>
      <c r="H2" s="144"/>
    </row>
    <row r="4" spans="1:8" ht="19.5" customHeight="1" x14ac:dyDescent="0.25">
      <c r="A4" s="166" t="s">
        <v>315</v>
      </c>
      <c r="B4" s="166"/>
      <c r="C4" s="166"/>
      <c r="D4" s="166"/>
      <c r="E4" s="166"/>
      <c r="F4" s="166"/>
      <c r="G4" s="166"/>
      <c r="H4" s="166"/>
    </row>
    <row r="5" spans="1:8" ht="31.5" customHeight="1" x14ac:dyDescent="0.25">
      <c r="A5" s="4" t="s">
        <v>316</v>
      </c>
      <c r="B5" s="4" t="s">
        <v>317</v>
      </c>
      <c r="C5" s="4" t="s">
        <v>318</v>
      </c>
      <c r="D5" s="4" t="s">
        <v>319</v>
      </c>
      <c r="E5" s="136" t="s">
        <v>320</v>
      </c>
      <c r="F5" s="136"/>
      <c r="G5" s="136"/>
      <c r="H5" s="136"/>
    </row>
    <row r="6" spans="1:8" ht="19.5" customHeight="1" x14ac:dyDescent="0.25">
      <c r="A6" s="44" t="s">
        <v>321</v>
      </c>
      <c r="B6" s="106">
        <v>12.5</v>
      </c>
      <c r="C6" s="106">
        <v>14</v>
      </c>
      <c r="D6" s="106">
        <v>16.5</v>
      </c>
      <c r="E6" s="153" t="s">
        <v>322</v>
      </c>
      <c r="F6" s="153"/>
      <c r="G6" s="153"/>
      <c r="H6" s="153"/>
    </row>
    <row r="7" spans="1:8" ht="19.5" customHeight="1" x14ac:dyDescent="0.25">
      <c r="A7" s="48" t="s">
        <v>323</v>
      </c>
      <c r="B7" s="107">
        <v>11.5</v>
      </c>
      <c r="C7" s="107">
        <v>13</v>
      </c>
      <c r="D7" s="107">
        <v>15</v>
      </c>
      <c r="E7" s="152" t="s">
        <v>322</v>
      </c>
      <c r="F7" s="152"/>
      <c r="G7" s="152"/>
      <c r="H7" s="152"/>
    </row>
    <row r="8" spans="1:8" ht="19.5" customHeight="1" x14ac:dyDescent="0.25">
      <c r="A8" s="44" t="s">
        <v>324</v>
      </c>
      <c r="B8" s="106">
        <v>10.5</v>
      </c>
      <c r="C8" s="106">
        <v>12</v>
      </c>
      <c r="D8" s="106">
        <v>13.5</v>
      </c>
      <c r="E8" s="153" t="s">
        <v>325</v>
      </c>
      <c r="F8" s="153"/>
      <c r="G8" s="153"/>
      <c r="H8" s="153"/>
    </row>
    <row r="9" spans="1:8" ht="19.5" customHeight="1" x14ac:dyDescent="0.25">
      <c r="A9" s="48" t="s">
        <v>326</v>
      </c>
      <c r="B9" s="107">
        <v>11</v>
      </c>
      <c r="C9" s="107">
        <v>13.5</v>
      </c>
      <c r="D9" s="107">
        <v>16</v>
      </c>
      <c r="E9" s="152" t="s">
        <v>327</v>
      </c>
      <c r="F9" s="152"/>
      <c r="G9" s="152"/>
      <c r="H9" s="152"/>
    </row>
    <row r="10" spans="1:8" ht="19.5" customHeight="1" x14ac:dyDescent="0.25">
      <c r="A10" s="44" t="s">
        <v>328</v>
      </c>
      <c r="B10" s="108" t="s">
        <v>329</v>
      </c>
      <c r="C10" s="108" t="s">
        <v>330</v>
      </c>
      <c r="D10" s="108" t="s">
        <v>331</v>
      </c>
      <c r="E10" s="153" t="s">
        <v>332</v>
      </c>
      <c r="F10" s="153"/>
      <c r="G10" s="153"/>
      <c r="H10" s="153"/>
    </row>
    <row r="11" spans="1:8" ht="19.5" customHeight="1" x14ac:dyDescent="0.25">
      <c r="A11" s="48" t="s">
        <v>333</v>
      </c>
      <c r="B11" s="109" t="s">
        <v>334</v>
      </c>
      <c r="C11" s="109" t="s">
        <v>335</v>
      </c>
      <c r="D11" s="109" t="s">
        <v>336</v>
      </c>
      <c r="E11" s="152" t="s">
        <v>332</v>
      </c>
      <c r="F11" s="152"/>
      <c r="G11" s="152"/>
      <c r="H11" s="152"/>
    </row>
    <row r="13" spans="1:8" ht="19.5" customHeight="1" x14ac:dyDescent="0.25">
      <c r="A13" s="166" t="s">
        <v>337</v>
      </c>
      <c r="B13" s="166"/>
      <c r="C13" s="166"/>
      <c r="D13" s="166"/>
      <c r="E13" s="166"/>
      <c r="F13" s="166"/>
      <c r="G13" s="166"/>
      <c r="H13" s="166"/>
    </row>
    <row r="14" spans="1:8" ht="39.75" customHeight="1" x14ac:dyDescent="0.25">
      <c r="A14" s="4" t="s">
        <v>38</v>
      </c>
      <c r="B14" s="4" t="s">
        <v>338</v>
      </c>
      <c r="C14" s="4" t="s">
        <v>339</v>
      </c>
      <c r="D14" s="4" t="s">
        <v>340</v>
      </c>
      <c r="E14" s="4" t="s">
        <v>341</v>
      </c>
      <c r="F14" s="4" t="s">
        <v>342</v>
      </c>
      <c r="G14" s="4" t="s">
        <v>343</v>
      </c>
      <c r="H14" s="4" t="s">
        <v>143</v>
      </c>
    </row>
    <row r="15" spans="1:8" ht="21.75" customHeight="1" x14ac:dyDescent="0.25">
      <c r="A15" s="1" t="s">
        <v>344</v>
      </c>
      <c r="B15" s="75">
        <v>160</v>
      </c>
      <c r="C15" s="106">
        <v>12</v>
      </c>
      <c r="D15" s="40">
        <f>B15*C15</f>
        <v>1920</v>
      </c>
      <c r="E15" s="40">
        <f>D15*12</f>
        <v>23040</v>
      </c>
      <c r="F15" s="23">
        <v>280</v>
      </c>
      <c r="G15" s="40">
        <f>D15+F15</f>
        <v>2200</v>
      </c>
      <c r="H15" s="53" t="s">
        <v>345</v>
      </c>
    </row>
    <row r="16" spans="1:8" ht="30" customHeight="1" x14ac:dyDescent="0.25">
      <c r="A16" s="167" t="s">
        <v>346</v>
      </c>
      <c r="B16" s="167"/>
      <c r="C16" s="167"/>
      <c r="D16" s="167"/>
      <c r="E16" s="167"/>
      <c r="F16" s="167"/>
      <c r="G16" s="167"/>
      <c r="H16" s="167"/>
    </row>
    <row r="18" spans="1:8" ht="19.5" customHeight="1" x14ac:dyDescent="0.25">
      <c r="A18" s="168" t="s">
        <v>347</v>
      </c>
      <c r="B18" s="168"/>
      <c r="C18" s="168"/>
      <c r="D18" s="168"/>
      <c r="E18" s="168"/>
      <c r="F18" s="168"/>
      <c r="G18" s="168"/>
      <c r="H18" s="168"/>
    </row>
    <row r="19" spans="1:8" ht="21.75" customHeight="1" x14ac:dyDescent="0.25">
      <c r="A19" s="4" t="s">
        <v>348</v>
      </c>
      <c r="B19" s="4" t="s">
        <v>349</v>
      </c>
      <c r="C19" s="4" t="s">
        <v>350</v>
      </c>
      <c r="D19" s="4" t="s">
        <v>57</v>
      </c>
      <c r="E19" s="151" t="s">
        <v>170</v>
      </c>
      <c r="F19" s="151"/>
      <c r="G19" s="151"/>
      <c r="H19" s="151"/>
    </row>
    <row r="20" spans="1:8" ht="19.5" customHeight="1" x14ac:dyDescent="0.25">
      <c r="A20" s="44" t="s">
        <v>351</v>
      </c>
      <c r="B20" s="40">
        <f>D15</f>
        <v>1920</v>
      </c>
      <c r="C20" s="40">
        <f>B20*12</f>
        <v>23040</v>
      </c>
      <c r="D20" s="55" t="s">
        <v>7</v>
      </c>
      <c r="E20" s="153" t="s">
        <v>352</v>
      </c>
      <c r="F20" s="153"/>
      <c r="G20" s="153"/>
      <c r="H20" s="153"/>
    </row>
    <row r="21" spans="1:8" ht="19.5" customHeight="1" x14ac:dyDescent="0.25">
      <c r="A21" s="48" t="s">
        <v>353</v>
      </c>
      <c r="B21" s="26">
        <f>-D15*0.05</f>
        <v>-96</v>
      </c>
      <c r="C21" s="26">
        <f>B21*12</f>
        <v>-1152</v>
      </c>
      <c r="D21" s="110">
        <f>ABS(B21/B20)</f>
        <v>0.05</v>
      </c>
      <c r="E21" s="152" t="s">
        <v>354</v>
      </c>
      <c r="F21" s="152"/>
      <c r="G21" s="152"/>
      <c r="H21" s="152"/>
    </row>
    <row r="22" spans="1:8" ht="19.5" customHeight="1" x14ac:dyDescent="0.25">
      <c r="A22" s="44" t="s">
        <v>355</v>
      </c>
      <c r="B22" s="40">
        <f>-Marktwert!B39*0.015/12</f>
        <v>0</v>
      </c>
      <c r="C22" s="40">
        <f>B22*12</f>
        <v>0</v>
      </c>
      <c r="D22" s="37">
        <f>ABS(B22/B20)</f>
        <v>0</v>
      </c>
      <c r="E22" s="153" t="s">
        <v>356</v>
      </c>
      <c r="F22" s="153"/>
      <c r="G22" s="153"/>
      <c r="H22" s="153"/>
    </row>
    <row r="23" spans="1:8" ht="19.5" customHeight="1" x14ac:dyDescent="0.25">
      <c r="A23" s="48" t="s">
        <v>357</v>
      </c>
      <c r="B23" s="26">
        <f>-D15*0.03</f>
        <v>-57.599999999999994</v>
      </c>
      <c r="C23" s="26">
        <f>B23*12</f>
        <v>-691.19999999999993</v>
      </c>
      <c r="D23" s="110">
        <f>ABS(B23/B20)</f>
        <v>2.9999999999999995E-2</v>
      </c>
      <c r="E23" s="152" t="s">
        <v>358</v>
      </c>
      <c r="F23" s="152"/>
      <c r="G23" s="152"/>
      <c r="H23" s="152"/>
    </row>
    <row r="24" spans="1:8" ht="19.5" customHeight="1" x14ac:dyDescent="0.25">
      <c r="A24" s="44" t="s">
        <v>359</v>
      </c>
      <c r="B24" s="23">
        <v>-80</v>
      </c>
      <c r="C24" s="40">
        <f>B24*12</f>
        <v>-960</v>
      </c>
      <c r="D24" s="55" t="s">
        <v>7</v>
      </c>
      <c r="E24" s="153" t="s">
        <v>360</v>
      </c>
      <c r="F24" s="153"/>
      <c r="G24" s="153"/>
      <c r="H24" s="153"/>
    </row>
    <row r="25" spans="1:8" ht="19.5" customHeight="1" x14ac:dyDescent="0.25">
      <c r="A25" s="61" t="s">
        <v>361</v>
      </c>
      <c r="B25" s="111">
        <f>SUM(B20:B24)</f>
        <v>1686.4</v>
      </c>
      <c r="C25" s="111">
        <f>SUM(C20:C24)</f>
        <v>20236.8</v>
      </c>
      <c r="D25" s="94" t="s">
        <v>7</v>
      </c>
      <c r="E25" s="169" t="s">
        <v>362</v>
      </c>
      <c r="F25" s="169"/>
      <c r="G25" s="169"/>
      <c r="H25" s="169"/>
    </row>
    <row r="27" spans="1:8" ht="19.5" customHeight="1" x14ac:dyDescent="0.25">
      <c r="A27" s="166" t="s">
        <v>363</v>
      </c>
      <c r="B27" s="166"/>
      <c r="C27" s="166"/>
      <c r="D27" s="166"/>
      <c r="E27" s="166"/>
      <c r="F27" s="166"/>
      <c r="G27" s="166"/>
      <c r="H27" s="166"/>
    </row>
    <row r="28" spans="1:8" ht="39.75" customHeight="1" x14ac:dyDescent="0.25">
      <c r="A28" s="4" t="s">
        <v>159</v>
      </c>
      <c r="B28" s="4" t="s">
        <v>338</v>
      </c>
      <c r="C28" s="4" t="s">
        <v>339</v>
      </c>
      <c r="D28" s="4" t="s">
        <v>340</v>
      </c>
      <c r="E28" s="4" t="s">
        <v>341</v>
      </c>
      <c r="F28" s="4" t="s">
        <v>342</v>
      </c>
      <c r="G28" s="4" t="s">
        <v>343</v>
      </c>
      <c r="H28" s="4" t="s">
        <v>143</v>
      </c>
    </row>
    <row r="29" spans="1:8" ht="21.75" customHeight="1" x14ac:dyDescent="0.25">
      <c r="A29" s="47" t="s">
        <v>413</v>
      </c>
      <c r="B29" s="112">
        <v>110</v>
      </c>
      <c r="C29" s="106">
        <v>12</v>
      </c>
      <c r="D29" s="26">
        <f>B29*C29</f>
        <v>1320</v>
      </c>
      <c r="E29" s="26">
        <f>D29*12</f>
        <v>15840</v>
      </c>
      <c r="F29" s="24">
        <v>200</v>
      </c>
      <c r="G29" s="26">
        <f>D29+F29</f>
        <v>1520</v>
      </c>
      <c r="H29" s="52" t="s">
        <v>364</v>
      </c>
    </row>
    <row r="30" spans="1:8" ht="25.5" x14ac:dyDescent="0.25">
      <c r="A30" s="1" t="s">
        <v>365</v>
      </c>
      <c r="B30" s="75">
        <v>80</v>
      </c>
      <c r="C30" s="106">
        <v>13</v>
      </c>
      <c r="D30" s="40">
        <f>B30*C30</f>
        <v>1040</v>
      </c>
      <c r="E30" s="40">
        <f>D30*12</f>
        <v>12480</v>
      </c>
      <c r="F30" s="23">
        <v>160</v>
      </c>
      <c r="G30" s="40">
        <f>D30+F30</f>
        <v>1200</v>
      </c>
      <c r="H30" s="53" t="s">
        <v>366</v>
      </c>
    </row>
    <row r="31" spans="1:8" ht="21.75" customHeight="1" x14ac:dyDescent="0.25">
      <c r="A31" s="47" t="s">
        <v>367</v>
      </c>
      <c r="B31" s="112">
        <v>110</v>
      </c>
      <c r="C31" s="106">
        <v>12</v>
      </c>
      <c r="D31" s="26">
        <f>B31*C31</f>
        <v>1320</v>
      </c>
      <c r="E31" s="26">
        <f>D31*12</f>
        <v>15840</v>
      </c>
      <c r="F31" s="24">
        <v>200</v>
      </c>
      <c r="G31" s="26">
        <f>D31+F31</f>
        <v>1520</v>
      </c>
      <c r="H31" s="52" t="s">
        <v>368</v>
      </c>
    </row>
    <row r="32" spans="1:8" ht="21.75" customHeight="1" x14ac:dyDescent="0.25">
      <c r="A32" s="113" t="s">
        <v>369</v>
      </c>
      <c r="B32" s="114">
        <v>0</v>
      </c>
      <c r="C32" s="114">
        <v>0</v>
      </c>
      <c r="D32" s="115">
        <v>100</v>
      </c>
      <c r="E32" s="81">
        <f>D32*12</f>
        <v>1200</v>
      </c>
      <c r="F32" s="114">
        <v>0</v>
      </c>
      <c r="G32" s="81">
        <f>D32</f>
        <v>100</v>
      </c>
      <c r="H32" s="116" t="s">
        <v>370</v>
      </c>
    </row>
    <row r="33" spans="1:8" ht="24" customHeight="1" x14ac:dyDescent="0.25">
      <c r="A33" s="63" t="s">
        <v>371</v>
      </c>
      <c r="B33" s="117">
        <f>SUM(B29:B31)</f>
        <v>300</v>
      </c>
      <c r="C33" s="89" t="s">
        <v>7</v>
      </c>
      <c r="D33" s="15">
        <f>SUM(D29:D31)+D32</f>
        <v>3780</v>
      </c>
      <c r="E33" s="15">
        <f>D33*12</f>
        <v>45360</v>
      </c>
      <c r="F33" s="15">
        <f>SUM(F29:F31)</f>
        <v>560</v>
      </c>
      <c r="G33" s="15">
        <f>D33+F33</f>
        <v>4340</v>
      </c>
      <c r="H33" s="118" t="s">
        <v>372</v>
      </c>
    </row>
    <row r="35" spans="1:8" ht="19.5" customHeight="1" x14ac:dyDescent="0.25">
      <c r="A35" s="168" t="s">
        <v>373</v>
      </c>
      <c r="B35" s="168"/>
      <c r="C35" s="168"/>
      <c r="D35" s="168"/>
      <c r="E35" s="168"/>
      <c r="F35" s="168"/>
      <c r="G35" s="168"/>
      <c r="H35" s="168"/>
    </row>
    <row r="36" spans="1:8" ht="15" customHeight="1" x14ac:dyDescent="0.25">
      <c r="A36" s="4" t="s">
        <v>348</v>
      </c>
      <c r="B36" s="4" t="s">
        <v>349</v>
      </c>
      <c r="C36" s="4" t="s">
        <v>350</v>
      </c>
      <c r="D36" s="4" t="s">
        <v>57</v>
      </c>
      <c r="E36" s="151" t="s">
        <v>170</v>
      </c>
      <c r="F36" s="151"/>
      <c r="G36" s="151"/>
      <c r="H36" s="151"/>
    </row>
    <row r="37" spans="1:8" ht="19.5" customHeight="1" x14ac:dyDescent="0.25">
      <c r="A37" s="48" t="s">
        <v>374</v>
      </c>
      <c r="B37" s="26">
        <f>D33</f>
        <v>3780</v>
      </c>
      <c r="C37" s="26">
        <f>B37*12</f>
        <v>45360</v>
      </c>
      <c r="D37" s="83" t="s">
        <v>7</v>
      </c>
      <c r="E37" s="152" t="s">
        <v>375</v>
      </c>
      <c r="F37" s="152"/>
      <c r="G37" s="152"/>
      <c r="H37" s="152"/>
    </row>
    <row r="38" spans="1:8" ht="19.5" customHeight="1" x14ac:dyDescent="0.25">
      <c r="A38" s="44" t="s">
        <v>353</v>
      </c>
      <c r="B38" s="40">
        <f>-D33*0.05</f>
        <v>-189</v>
      </c>
      <c r="C38" s="40">
        <f>B38*12</f>
        <v>-2268</v>
      </c>
      <c r="D38" s="37">
        <f>ABS(B38/B37)</f>
        <v>0.05</v>
      </c>
      <c r="E38" s="153" t="s">
        <v>376</v>
      </c>
      <c r="F38" s="153"/>
      <c r="G38" s="153"/>
      <c r="H38" s="153"/>
    </row>
    <row r="39" spans="1:8" ht="19.5" customHeight="1" x14ac:dyDescent="0.25">
      <c r="A39" s="48" t="s">
        <v>377</v>
      </c>
      <c r="B39" s="26">
        <f>-Marktwert!D39*0.008/12</f>
        <v>0</v>
      </c>
      <c r="C39" s="26">
        <f>B39*12</f>
        <v>0</v>
      </c>
      <c r="D39" s="110">
        <f>ABS(B39/B37)</f>
        <v>0</v>
      </c>
      <c r="E39" s="152" t="s">
        <v>378</v>
      </c>
      <c r="F39" s="152"/>
      <c r="G39" s="152"/>
      <c r="H39" s="152"/>
    </row>
    <row r="40" spans="1:8" ht="19.5" customHeight="1" x14ac:dyDescent="0.25">
      <c r="A40" s="44" t="s">
        <v>357</v>
      </c>
      <c r="B40" s="40">
        <f>-D33*0.03</f>
        <v>-113.39999999999999</v>
      </c>
      <c r="C40" s="40">
        <f>B40*12</f>
        <v>-1360.8</v>
      </c>
      <c r="D40" s="37">
        <f>ABS(B40/B37)</f>
        <v>0.03</v>
      </c>
      <c r="E40" s="153" t="s">
        <v>379</v>
      </c>
      <c r="F40" s="153"/>
      <c r="G40" s="153"/>
      <c r="H40" s="153"/>
    </row>
    <row r="41" spans="1:8" ht="19.5" customHeight="1" x14ac:dyDescent="0.25">
      <c r="A41" s="48" t="s">
        <v>359</v>
      </c>
      <c r="B41" s="24">
        <v>-140</v>
      </c>
      <c r="C41" s="26">
        <f>B41*12</f>
        <v>-1680</v>
      </c>
      <c r="D41" s="83" t="s">
        <v>7</v>
      </c>
      <c r="E41" s="152" t="s">
        <v>380</v>
      </c>
      <c r="F41" s="152"/>
      <c r="G41" s="152"/>
      <c r="H41" s="152"/>
    </row>
    <row r="42" spans="1:8" ht="19.5" customHeight="1" x14ac:dyDescent="0.25">
      <c r="A42" s="61" t="s">
        <v>361</v>
      </c>
      <c r="B42" s="111">
        <f>SUM(B37:B41)</f>
        <v>3337.6</v>
      </c>
      <c r="C42" s="111">
        <f>SUM(C37:C41)</f>
        <v>40051.199999999997</v>
      </c>
      <c r="D42" s="94" t="s">
        <v>7</v>
      </c>
      <c r="E42" s="169" t="s">
        <v>362</v>
      </c>
      <c r="F42" s="169"/>
      <c r="G42" s="169"/>
      <c r="H42" s="169"/>
    </row>
    <row r="44" spans="1:8" ht="19.5" customHeight="1" x14ac:dyDescent="0.25">
      <c r="A44" s="166" t="s">
        <v>381</v>
      </c>
      <c r="B44" s="166"/>
      <c r="C44" s="166"/>
      <c r="D44" s="166"/>
      <c r="E44" s="166"/>
      <c r="F44" s="166"/>
      <c r="G44" s="166"/>
      <c r="H44" s="166"/>
    </row>
    <row r="45" spans="1:8" ht="34.5" customHeight="1" x14ac:dyDescent="0.25">
      <c r="A45" s="4" t="s">
        <v>2</v>
      </c>
      <c r="B45" s="4" t="s">
        <v>382</v>
      </c>
      <c r="C45" s="4" t="s">
        <v>383</v>
      </c>
      <c r="D45" s="4" t="s">
        <v>38</v>
      </c>
      <c r="E45" s="151" t="s">
        <v>198</v>
      </c>
      <c r="F45" s="151"/>
      <c r="G45" s="151"/>
      <c r="H45" s="151"/>
    </row>
    <row r="46" spans="1:8" ht="21.75" customHeight="1" x14ac:dyDescent="0.25">
      <c r="A46" s="44" t="s">
        <v>384</v>
      </c>
      <c r="B46" s="40">
        <f>E15</f>
        <v>23040</v>
      </c>
      <c r="C46" s="39">
        <f>E33</f>
        <v>45360</v>
      </c>
      <c r="D46" s="55" t="s">
        <v>47</v>
      </c>
      <c r="E46" s="153" t="s">
        <v>385</v>
      </c>
      <c r="F46" s="153"/>
      <c r="G46" s="153"/>
      <c r="H46" s="153"/>
    </row>
    <row r="47" spans="1:8" ht="21.75" customHeight="1" x14ac:dyDescent="0.25">
      <c r="A47" s="48" t="s">
        <v>386</v>
      </c>
      <c r="B47" s="26">
        <f>C25</f>
        <v>20236.8</v>
      </c>
      <c r="C47" s="22">
        <f>C42</f>
        <v>40051.199999999997</v>
      </c>
      <c r="D47" s="83" t="s">
        <v>47</v>
      </c>
      <c r="E47" s="152" t="s">
        <v>362</v>
      </c>
      <c r="F47" s="152"/>
      <c r="G47" s="152"/>
      <c r="H47" s="152"/>
    </row>
    <row r="48" spans="1:8" ht="21.75" customHeight="1" x14ac:dyDescent="0.25">
      <c r="A48" s="44" t="s">
        <v>387</v>
      </c>
      <c r="B48" s="23">
        <v>472000</v>
      </c>
      <c r="C48" s="119">
        <v>1078000</v>
      </c>
      <c r="D48" s="55" t="s">
        <v>47</v>
      </c>
      <c r="E48" s="170" t="s">
        <v>388</v>
      </c>
      <c r="F48" s="170"/>
      <c r="G48" s="170"/>
      <c r="H48" s="170"/>
    </row>
    <row r="49" spans="1:8" ht="21.75" customHeight="1" x14ac:dyDescent="0.25">
      <c r="A49" s="47" t="s">
        <v>389</v>
      </c>
      <c r="B49" s="110">
        <f>IFERROR(B46/B48,0)</f>
        <v>4.8813559322033899E-2</v>
      </c>
      <c r="C49" s="120">
        <f>IFERROR(C46/C48,0)</f>
        <v>4.2077922077922075E-2</v>
      </c>
      <c r="D49" s="83" t="s">
        <v>57</v>
      </c>
      <c r="E49" s="152" t="s">
        <v>390</v>
      </c>
      <c r="F49" s="152"/>
      <c r="G49" s="152"/>
      <c r="H49" s="152"/>
    </row>
    <row r="50" spans="1:8" ht="21.75" customHeight="1" x14ac:dyDescent="0.25">
      <c r="A50" s="61" t="s">
        <v>391</v>
      </c>
      <c r="B50" s="121">
        <f>IFERROR(B47/B48,0)</f>
        <v>4.2874576271186439E-2</v>
      </c>
      <c r="C50" s="122">
        <f>IFERROR(C47/C48,0)</f>
        <v>3.7153246753246751E-2</v>
      </c>
      <c r="D50" s="94" t="s">
        <v>57</v>
      </c>
      <c r="E50" s="169" t="s">
        <v>392</v>
      </c>
      <c r="F50" s="169"/>
      <c r="G50" s="169"/>
      <c r="H50" s="169"/>
    </row>
    <row r="51" spans="1:8" ht="21.75" customHeight="1" x14ac:dyDescent="0.25">
      <c r="A51" s="48" t="s">
        <v>393</v>
      </c>
      <c r="B51" s="123">
        <f>IFERROR(B48/B46,0)</f>
        <v>20.486111111111111</v>
      </c>
      <c r="C51" s="124">
        <f>IFERROR(C48/C46,0)</f>
        <v>23.765432098765434</v>
      </c>
      <c r="D51" s="83" t="s">
        <v>394</v>
      </c>
      <c r="E51" s="152" t="s">
        <v>395</v>
      </c>
      <c r="F51" s="152"/>
      <c r="G51" s="152"/>
      <c r="H51" s="152"/>
    </row>
    <row r="52" spans="1:8" ht="21.75" customHeight="1" x14ac:dyDescent="0.25">
      <c r="A52" s="44" t="s">
        <v>396</v>
      </c>
      <c r="B52" s="40">
        <f>B47/12</f>
        <v>1686.3999999999999</v>
      </c>
      <c r="C52" s="39">
        <f>C47/12</f>
        <v>3337.6</v>
      </c>
      <c r="D52" s="55" t="s">
        <v>47</v>
      </c>
      <c r="E52" s="153" t="s">
        <v>397</v>
      </c>
      <c r="F52" s="153"/>
      <c r="G52" s="153"/>
      <c r="H52" s="153"/>
    </row>
    <row r="53" spans="1:8" ht="21.75" customHeight="1" x14ac:dyDescent="0.25">
      <c r="A53" s="48" t="s">
        <v>398</v>
      </c>
      <c r="B53" s="125">
        <f>IFERROR(B48/B47,0)</f>
        <v>23.323845667299178</v>
      </c>
      <c r="C53" s="126">
        <f>IFERROR(C48/C47,0)</f>
        <v>26.915548098434005</v>
      </c>
      <c r="D53" s="83" t="s">
        <v>54</v>
      </c>
      <c r="E53" s="152" t="s">
        <v>399</v>
      </c>
      <c r="F53" s="152"/>
      <c r="G53" s="152"/>
      <c r="H53" s="152"/>
    </row>
    <row r="55" spans="1:8" ht="19.5" customHeight="1" x14ac:dyDescent="0.25">
      <c r="A55" s="166" t="s">
        <v>400</v>
      </c>
      <c r="B55" s="166"/>
      <c r="C55" s="166"/>
      <c r="D55" s="166"/>
      <c r="E55" s="166"/>
      <c r="F55" s="166"/>
      <c r="G55" s="166"/>
      <c r="H55" s="166"/>
    </row>
    <row r="56" spans="1:8" ht="19.5" customHeight="1" x14ac:dyDescent="0.25">
      <c r="A56" s="54" t="s">
        <v>401</v>
      </c>
      <c r="B56" s="127">
        <v>2.5000000000000001E-2</v>
      </c>
      <c r="C56" s="171" t="s">
        <v>402</v>
      </c>
      <c r="D56" s="171"/>
      <c r="E56" s="171"/>
      <c r="F56" s="171"/>
      <c r="G56" s="171"/>
      <c r="H56" s="171"/>
    </row>
    <row r="57" spans="1:8" ht="19.5" customHeight="1" x14ac:dyDescent="0.25">
      <c r="A57" s="54" t="s">
        <v>403</v>
      </c>
      <c r="B57" s="128">
        <v>2026</v>
      </c>
      <c r="C57" s="171" t="s">
        <v>404</v>
      </c>
      <c r="D57" s="171"/>
      <c r="E57" s="171"/>
      <c r="F57" s="171"/>
      <c r="G57" s="171"/>
      <c r="H57" s="171"/>
    </row>
    <row r="59" spans="1:8" ht="31.5" customHeight="1" x14ac:dyDescent="0.25">
      <c r="A59" s="4" t="s">
        <v>51</v>
      </c>
      <c r="B59" s="4" t="s">
        <v>405</v>
      </c>
      <c r="C59" s="4" t="s">
        <v>406</v>
      </c>
      <c r="D59" s="4" t="s">
        <v>407</v>
      </c>
      <c r="E59" s="4" t="s">
        <v>408</v>
      </c>
      <c r="F59" s="4" t="s">
        <v>409</v>
      </c>
      <c r="G59" s="4" t="s">
        <v>410</v>
      </c>
      <c r="H59" s="4" t="s">
        <v>411</v>
      </c>
    </row>
    <row r="60" spans="1:8" ht="19.5" customHeight="1" x14ac:dyDescent="0.25">
      <c r="A60" s="129">
        <f>B57+0</f>
        <v>2026</v>
      </c>
      <c r="B60" s="40">
        <f>C25</f>
        <v>20236.8</v>
      </c>
      <c r="C60" s="39">
        <f>C42</f>
        <v>40051.199999999997</v>
      </c>
      <c r="D60" s="40">
        <f t="shared" ref="D60:D69" si="0">B60+C60</f>
        <v>60288</v>
      </c>
      <c r="E60" s="40">
        <f>SUM(B60)</f>
        <v>20236.8</v>
      </c>
      <c r="F60" s="39">
        <f>SUM(C60)</f>
        <v>40051.199999999997</v>
      </c>
      <c r="G60" s="40">
        <f>SUM(D60)</f>
        <v>60288</v>
      </c>
      <c r="H60" s="37">
        <f>IFERROR(D60/D60-1,0)</f>
        <v>0</v>
      </c>
    </row>
    <row r="61" spans="1:8" ht="19.5" customHeight="1" x14ac:dyDescent="0.25">
      <c r="A61" s="130">
        <f>B57+1</f>
        <v>2027</v>
      </c>
      <c r="B61" s="26">
        <f t="shared" ref="B61:B69" si="1">B60*(1+$B$56)</f>
        <v>20742.719999999998</v>
      </c>
      <c r="C61" s="22">
        <f t="shared" ref="C61:C69" si="2">C60*(1+$B$56)</f>
        <v>41052.479999999996</v>
      </c>
      <c r="D61" s="26">
        <f t="shared" si="0"/>
        <v>61795.199999999997</v>
      </c>
      <c r="E61" s="26">
        <f>SUM(B60:B61)</f>
        <v>40979.519999999997</v>
      </c>
      <c r="F61" s="22">
        <f>SUM(C60:C61)</f>
        <v>81103.679999999993</v>
      </c>
      <c r="G61" s="26">
        <f>SUM(D60:D61)</f>
        <v>122083.2</v>
      </c>
      <c r="H61" s="110">
        <f>IFERROR(D61/D60-1,0)</f>
        <v>2.4999999999999911E-2</v>
      </c>
    </row>
    <row r="62" spans="1:8" ht="19.5" customHeight="1" x14ac:dyDescent="0.25">
      <c r="A62" s="129">
        <f>B57+2</f>
        <v>2028</v>
      </c>
      <c r="B62" s="40">
        <f t="shared" si="1"/>
        <v>21261.287999999997</v>
      </c>
      <c r="C62" s="39">
        <f t="shared" si="2"/>
        <v>42078.791999999994</v>
      </c>
      <c r="D62" s="40">
        <f t="shared" si="0"/>
        <v>63340.079999999987</v>
      </c>
      <c r="E62" s="40">
        <f>SUM(B60:B62)</f>
        <v>62240.80799999999</v>
      </c>
      <c r="F62" s="39">
        <f>SUM(C60:C62)</f>
        <v>123182.47199999998</v>
      </c>
      <c r="G62" s="40">
        <f>SUM(D60:D62)</f>
        <v>185423.27999999997</v>
      </c>
      <c r="H62" s="37">
        <f>IFERROR(D62/D60-1,0)</f>
        <v>5.0624999999999698E-2</v>
      </c>
    </row>
    <row r="63" spans="1:8" ht="19.5" customHeight="1" x14ac:dyDescent="0.25">
      <c r="A63" s="130">
        <f>B57+3</f>
        <v>2029</v>
      </c>
      <c r="B63" s="26">
        <f t="shared" si="1"/>
        <v>21792.820199999995</v>
      </c>
      <c r="C63" s="22">
        <f t="shared" si="2"/>
        <v>43130.761799999993</v>
      </c>
      <c r="D63" s="26">
        <f t="shared" si="0"/>
        <v>64923.581999999988</v>
      </c>
      <c r="E63" s="26">
        <f>SUM(B60:B63)</f>
        <v>84033.628199999977</v>
      </c>
      <c r="F63" s="22">
        <f>SUM(C60:C63)</f>
        <v>166313.23379999999</v>
      </c>
      <c r="G63" s="26">
        <f>SUM(D60:D63)</f>
        <v>250346.86199999996</v>
      </c>
      <c r="H63" s="110">
        <f>IFERROR(D63/D60-1,0)</f>
        <v>7.6890624999999879E-2</v>
      </c>
    </row>
    <row r="64" spans="1:8" ht="19.5" customHeight="1" x14ac:dyDescent="0.25">
      <c r="A64" s="129">
        <f>B57+4</f>
        <v>2030</v>
      </c>
      <c r="B64" s="40">
        <f t="shared" si="1"/>
        <v>22337.640704999994</v>
      </c>
      <c r="C64" s="39">
        <f t="shared" si="2"/>
        <v>44209.030844999987</v>
      </c>
      <c r="D64" s="40">
        <f t="shared" si="0"/>
        <v>66546.671549999985</v>
      </c>
      <c r="E64" s="40">
        <f>SUM(B60:B64)</f>
        <v>106371.26890499998</v>
      </c>
      <c r="F64" s="39">
        <f>SUM(C60:C64)</f>
        <v>210522.26464499999</v>
      </c>
      <c r="G64" s="40">
        <f>SUM(D60:D64)</f>
        <v>316893.53354999993</v>
      </c>
      <c r="H64" s="37">
        <f>IFERROR(D64/D60-1,0)</f>
        <v>0.10381289062499977</v>
      </c>
    </row>
    <row r="65" spans="1:8" ht="19.5" customHeight="1" x14ac:dyDescent="0.25">
      <c r="A65" s="130">
        <f>B57+5</f>
        <v>2031</v>
      </c>
      <c r="B65" s="26">
        <f t="shared" si="1"/>
        <v>22896.081722624993</v>
      </c>
      <c r="C65" s="22">
        <f t="shared" si="2"/>
        <v>45314.256616124985</v>
      </c>
      <c r="D65" s="26">
        <f t="shared" si="0"/>
        <v>68210.338338749978</v>
      </c>
      <c r="E65" s="26">
        <f>SUM(B60:B65)</f>
        <v>129267.35062762497</v>
      </c>
      <c r="F65" s="22">
        <f>SUM(C60:C65)</f>
        <v>255836.52126112499</v>
      </c>
      <c r="G65" s="26">
        <f>SUM(D60:D65)</f>
        <v>385103.87188874988</v>
      </c>
      <c r="H65" s="110">
        <f>IFERROR(D65/D60-1,0)</f>
        <v>0.13140821289062465</v>
      </c>
    </row>
    <row r="66" spans="1:8" ht="19.5" customHeight="1" x14ac:dyDescent="0.25">
      <c r="A66" s="129">
        <f>B57+6</f>
        <v>2032</v>
      </c>
      <c r="B66" s="40">
        <f t="shared" si="1"/>
        <v>23468.483765690617</v>
      </c>
      <c r="C66" s="39">
        <f t="shared" si="2"/>
        <v>46447.113031528104</v>
      </c>
      <c r="D66" s="40">
        <f t="shared" si="0"/>
        <v>69915.596797218721</v>
      </c>
      <c r="E66" s="40">
        <f>SUM(B60:B66)</f>
        <v>152735.8343933156</v>
      </c>
      <c r="F66" s="39">
        <f>SUM(C60:C66)</f>
        <v>302283.63429265306</v>
      </c>
      <c r="G66" s="40">
        <f>SUM(D60:D66)</f>
        <v>455019.4686859686</v>
      </c>
      <c r="H66" s="37">
        <f>IFERROR(D66/D60-1,0)</f>
        <v>0.15969341821289018</v>
      </c>
    </row>
    <row r="67" spans="1:8" ht="19.5" customHeight="1" x14ac:dyDescent="0.25">
      <c r="A67" s="130">
        <f>B57+7</f>
        <v>2033</v>
      </c>
      <c r="B67" s="26">
        <f t="shared" si="1"/>
        <v>24055.195859832878</v>
      </c>
      <c r="C67" s="22">
        <f t="shared" si="2"/>
        <v>47608.2908573163</v>
      </c>
      <c r="D67" s="26">
        <f t="shared" si="0"/>
        <v>71663.486717149179</v>
      </c>
      <c r="E67" s="26">
        <f>SUM(B60:B67)</f>
        <v>176791.03025314846</v>
      </c>
      <c r="F67" s="22">
        <f>SUM(C60:C67)</f>
        <v>349891.92514996935</v>
      </c>
      <c r="G67" s="26">
        <f>SUM(D60:D67)</f>
        <v>526682.95540311781</v>
      </c>
      <c r="H67" s="110">
        <f>IFERROR(D67/D60-1,0)</f>
        <v>0.18868575366821227</v>
      </c>
    </row>
    <row r="68" spans="1:8" ht="19.5" customHeight="1" x14ac:dyDescent="0.25">
      <c r="A68" s="129">
        <f>B57+8</f>
        <v>2034</v>
      </c>
      <c r="B68" s="40">
        <f t="shared" si="1"/>
        <v>24656.575756328697</v>
      </c>
      <c r="C68" s="39">
        <f t="shared" si="2"/>
        <v>48798.498128749205</v>
      </c>
      <c r="D68" s="40">
        <f t="shared" si="0"/>
        <v>73455.073885077902</v>
      </c>
      <c r="E68" s="40">
        <f>SUM(B60:B68)</f>
        <v>201447.60600947717</v>
      </c>
      <c r="F68" s="39">
        <f>SUM(C60:C68)</f>
        <v>398690.42327871855</v>
      </c>
      <c r="G68" s="40">
        <f>SUM(D60:D68)</f>
        <v>600138.02928819577</v>
      </c>
      <c r="H68" s="37">
        <f>IFERROR(D68/D60-1,0)</f>
        <v>0.21840289750991748</v>
      </c>
    </row>
    <row r="69" spans="1:8" ht="19.5" customHeight="1" x14ac:dyDescent="0.25">
      <c r="A69" s="131">
        <f>B57+9</f>
        <v>2035</v>
      </c>
      <c r="B69" s="25">
        <f t="shared" si="1"/>
        <v>25272.990150236914</v>
      </c>
      <c r="C69" s="93">
        <f t="shared" si="2"/>
        <v>50018.460581967927</v>
      </c>
      <c r="D69" s="18">
        <f t="shared" si="0"/>
        <v>75291.450732204845</v>
      </c>
      <c r="E69" s="25">
        <f>SUM(B60:B69)</f>
        <v>226720.59615971407</v>
      </c>
      <c r="F69" s="93">
        <f>SUM(C60:C69)</f>
        <v>448708.88386068644</v>
      </c>
      <c r="G69" s="18">
        <f>SUM(D60:D69)</f>
        <v>675429.4800204006</v>
      </c>
      <c r="H69" s="132">
        <f>IFERROR(D69/D60-1,0)</f>
        <v>0.24886296994766521</v>
      </c>
    </row>
    <row r="71" spans="1:8" ht="45" customHeight="1" x14ac:dyDescent="0.25">
      <c r="A71" s="146" t="s">
        <v>412</v>
      </c>
      <c r="B71" s="146"/>
      <c r="C71" s="146"/>
      <c r="D71" s="146"/>
      <c r="E71" s="146"/>
      <c r="F71" s="146"/>
      <c r="G71" s="146"/>
      <c r="H71" s="146"/>
    </row>
  </sheetData>
  <mergeCells count="43">
    <mergeCell ref="C56:H56"/>
    <mergeCell ref="C57:H57"/>
    <mergeCell ref="A71:H71"/>
    <mergeCell ref="E50:H50"/>
    <mergeCell ref="E51:H51"/>
    <mergeCell ref="E52:H52"/>
    <mergeCell ref="E53:H53"/>
    <mergeCell ref="A55:H55"/>
    <mergeCell ref="E45:H45"/>
    <mergeCell ref="E46:H46"/>
    <mergeCell ref="E47:H47"/>
    <mergeCell ref="E48:H48"/>
    <mergeCell ref="E49:H49"/>
    <mergeCell ref="E39:H39"/>
    <mergeCell ref="E40:H40"/>
    <mergeCell ref="E41:H41"/>
    <mergeCell ref="E42:H42"/>
    <mergeCell ref="A44:H44"/>
    <mergeCell ref="A27:H27"/>
    <mergeCell ref="A35:H35"/>
    <mergeCell ref="E36:H36"/>
    <mergeCell ref="E37:H37"/>
    <mergeCell ref="E38:H38"/>
    <mergeCell ref="E21:H21"/>
    <mergeCell ref="E22:H22"/>
    <mergeCell ref="E23:H23"/>
    <mergeCell ref="E24:H24"/>
    <mergeCell ref="E25:H25"/>
    <mergeCell ref="A13:H13"/>
    <mergeCell ref="A16:H16"/>
    <mergeCell ref="A18:H18"/>
    <mergeCell ref="E19:H19"/>
    <mergeCell ref="E20:H20"/>
    <mergeCell ref="E7:H7"/>
    <mergeCell ref="E8:H8"/>
    <mergeCell ref="E9:H9"/>
    <mergeCell ref="E10:H10"/>
    <mergeCell ref="E11:H11"/>
    <mergeCell ref="A1:H1"/>
    <mergeCell ref="A2:H2"/>
    <mergeCell ref="A4:H4"/>
    <mergeCell ref="E5:H5"/>
    <mergeCell ref="E6:H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Wertermittlung</vt:lpstr>
      <vt:lpstr>Marktwert</vt:lpstr>
      <vt:lpstr>Schenkungssteuer</vt:lpstr>
      <vt:lpstr>Szenarien</vt:lpstr>
      <vt:lpstr>Mieteinnahmen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Jonas Auda</cp:lastModifiedBy>
  <cp:revision>0</cp:revision>
  <dcterms:created xsi:type="dcterms:W3CDTF">2026-03-29T12:09:27Z</dcterms:created>
  <dcterms:modified xsi:type="dcterms:W3CDTF">2026-03-29T17:23:42Z</dcterms:modified>
  <dc:language>en-US</dc:language>
</cp:coreProperties>
</file>